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Lucas\Desktop\OVCRI\May 1st 2024\"/>
    </mc:Choice>
  </mc:AlternateContent>
  <xr:revisionPtr revIDLastSave="0" documentId="13_ncr:40009_{E11F7FB8-5734-4577-81B6-7C2093A38B5F}" xr6:coauthVersionLast="47" xr6:coauthVersionMax="47" xr10:uidLastSave="{00000000-0000-0000-0000-000000000000}"/>
  <bookViews>
    <workbookView xWindow="24" yWindow="624" windowWidth="23016" windowHeight="12216"/>
  </bookViews>
  <sheets>
    <sheet name="All Federal Opps" sheetId="1" r:id="rId1"/>
  </sheets>
  <calcPr calcId="0"/>
</workbook>
</file>

<file path=xl/calcChain.xml><?xml version="1.0" encoding="utf-8"?>
<calcChain xmlns="http://schemas.openxmlformats.org/spreadsheetml/2006/main">
  <c r="A357" i="1" l="1"/>
  <c r="A317" i="1"/>
  <c r="A266" i="1"/>
  <c r="A34" i="1"/>
  <c r="A995" i="1"/>
  <c r="A988" i="1"/>
  <c r="A918" i="1"/>
  <c r="A286" i="1"/>
  <c r="A992" i="1"/>
  <c r="A973" i="1"/>
  <c r="A960" i="1"/>
  <c r="A945" i="1"/>
  <c r="A823" i="1"/>
  <c r="A285" i="1"/>
  <c r="A194" i="1"/>
  <c r="A195" i="1"/>
  <c r="A196" i="1"/>
  <c r="A111" i="1"/>
  <c r="A245" i="1"/>
  <c r="A578" i="1"/>
  <c r="A864" i="1"/>
  <c r="A256" i="1"/>
  <c r="A455" i="1"/>
  <c r="A149" i="1"/>
  <c r="A579" i="1"/>
  <c r="A989" i="1"/>
  <c r="A204" i="1"/>
  <c r="A338" i="1"/>
  <c r="A303" i="1"/>
  <c r="A1007" i="1"/>
  <c r="A477" i="1"/>
  <c r="A398" i="1"/>
  <c r="A339" i="1"/>
  <c r="A90" i="1"/>
  <c r="A342" i="1"/>
  <c r="A476" i="1"/>
  <c r="A107" i="1"/>
  <c r="A348" i="1"/>
  <c r="A409" i="1"/>
  <c r="A478" i="1"/>
  <c r="A322" i="1"/>
  <c r="A144" i="1"/>
  <c r="A232" i="1"/>
  <c r="A985" i="1"/>
  <c r="A316" i="1"/>
  <c r="A233" i="1"/>
  <c r="A993" i="1"/>
  <c r="A975" i="1"/>
  <c r="A998" i="1"/>
  <c r="A1003" i="1"/>
  <c r="A961" i="1"/>
  <c r="A915" i="1"/>
  <c r="A120" i="1"/>
  <c r="A121" i="1"/>
  <c r="A401" i="1"/>
  <c r="A240" i="1"/>
  <c r="A381" i="1"/>
  <c r="A942" i="1"/>
  <c r="A475" i="1"/>
  <c r="A386" i="1"/>
  <c r="A382" i="1"/>
  <c r="A96" i="1"/>
  <c r="A379" i="1"/>
  <c r="A13" i="1"/>
  <c r="A383" i="1"/>
  <c r="A982" i="1"/>
  <c r="A150" i="1"/>
  <c r="A1001" i="1"/>
  <c r="A1004" i="1"/>
  <c r="A999" i="1"/>
  <c r="A108" i="1"/>
  <c r="A106" i="1"/>
  <c r="A142" i="1"/>
  <c r="A1000" i="1"/>
  <c r="A557" i="1"/>
  <c r="A415" i="1"/>
  <c r="A917" i="1"/>
  <c r="A959" i="1"/>
  <c r="A696" i="1"/>
  <c r="A243" i="1"/>
  <c r="A994" i="1"/>
  <c r="A971" i="1"/>
  <c r="A648" i="1"/>
  <c r="A416" i="1"/>
  <c r="A972" i="1"/>
  <c r="A283" i="1"/>
  <c r="A284" i="1"/>
  <c r="A334" i="1"/>
  <c r="A148" i="1"/>
  <c r="A384" i="1"/>
  <c r="A553" i="1"/>
  <c r="A859" i="1"/>
  <c r="A843" i="1"/>
  <c r="A952" i="1"/>
  <c r="A274" i="1"/>
  <c r="A190" i="1"/>
  <c r="A191" i="1"/>
  <c r="A1008" i="1"/>
  <c r="A104" i="1"/>
  <c r="A986" i="1"/>
  <c r="A210" i="1"/>
  <c r="A211" i="1"/>
  <c r="A466" i="1"/>
  <c r="A987" i="1"/>
  <c r="A820" i="1"/>
  <c r="A944" i="1"/>
  <c r="A601" i="1"/>
  <c r="A424" i="1"/>
  <c r="A33" i="1"/>
  <c r="A916" i="1"/>
  <c r="A109" i="1"/>
  <c r="A425" i="1"/>
  <c r="A73" i="1"/>
  <c r="A74" i="1"/>
  <c r="A426" i="1"/>
  <c r="A75" i="1"/>
  <c r="A291" i="1"/>
  <c r="A824" i="1"/>
  <c r="A363" i="1"/>
  <c r="A454" i="1"/>
  <c r="A337" i="1"/>
  <c r="A166" i="1"/>
  <c r="A40" i="1"/>
  <c r="A161" i="1"/>
  <c r="A172" i="1"/>
  <c r="A845" i="1"/>
  <c r="A197" i="1"/>
  <c r="A198" i="1"/>
  <c r="A844" i="1"/>
  <c r="A199" i="1"/>
  <c r="A225" i="1"/>
  <c r="A246" i="1"/>
  <c r="A147" i="1"/>
  <c r="A956" i="1"/>
  <c r="A607" i="1"/>
  <c r="A438" i="1"/>
  <c r="A439" i="1"/>
  <c r="A235" i="1"/>
  <c r="A440" i="1"/>
  <c r="A343" i="1"/>
  <c r="A441" i="1"/>
  <c r="A442" i="1"/>
  <c r="A369" i="1"/>
  <c r="A370" i="1"/>
  <c r="A371" i="1"/>
  <c r="A200" i="1"/>
  <c r="A244" i="1"/>
  <c r="A423" i="1"/>
  <c r="A292" i="1"/>
  <c r="A364" i="1"/>
  <c r="A32" i="1"/>
  <c r="A329" i="1"/>
  <c r="A970" i="1"/>
  <c r="A957" i="1"/>
  <c r="A471" i="1"/>
  <c r="A472" i="1"/>
  <c r="A473" i="1"/>
  <c r="A328" i="1"/>
  <c r="A6" i="1"/>
  <c r="A615" i="1"/>
  <c r="A293" i="1"/>
  <c r="A399" i="1"/>
  <c r="A76" i="1"/>
  <c r="A105" i="1"/>
  <c r="A7" i="1"/>
  <c r="A153" i="1"/>
  <c r="A8" i="1"/>
  <c r="A299" i="1"/>
  <c r="A9" i="1"/>
  <c r="A217" i="1"/>
  <c r="A446" i="1"/>
  <c r="A443" i="1"/>
  <c r="A175" i="1"/>
  <c r="A100" i="1"/>
  <c r="A591" i="1"/>
  <c r="A866" i="1"/>
  <c r="A325" i="1"/>
  <c r="A101" i="1"/>
  <c r="A102" i="1"/>
  <c r="A99" i="1"/>
  <c r="A465" i="1"/>
  <c r="A140" i="1"/>
  <c r="A324" i="1"/>
  <c r="A113" i="1"/>
  <c r="A417" i="1"/>
  <c r="A226" i="1"/>
  <c r="A436" i="1"/>
  <c r="A962" i="1"/>
  <c r="A5" i="1"/>
  <c r="A95" i="1"/>
  <c r="A181" i="1"/>
  <c r="A437" i="1"/>
  <c r="A222" i="1"/>
  <c r="A921" i="1"/>
  <c r="A192" i="1"/>
  <c r="A967" i="1"/>
  <c r="A598" i="1"/>
  <c r="A969" i="1"/>
  <c r="A209" i="1"/>
  <c r="A94" i="1"/>
  <c r="A968" i="1"/>
  <c r="A721" i="1"/>
  <c r="A470" i="1"/>
  <c r="A139" i="1"/>
  <c r="A449" i="1"/>
  <c r="A205" i="1"/>
  <c r="A599" i="1"/>
  <c r="A600" i="1"/>
  <c r="A453" i="1"/>
  <c r="A336" i="1"/>
  <c r="A612" i="1"/>
  <c r="A613" i="1"/>
  <c r="A385" i="1"/>
  <c r="A318" i="1"/>
  <c r="A319" i="1"/>
  <c r="A320" i="1"/>
  <c r="A983" i="1"/>
  <c r="A909" i="1"/>
  <c r="A910" i="1"/>
  <c r="A911" i="1"/>
  <c r="A448" i="1"/>
  <c r="A605" i="1"/>
  <c r="A860" i="1"/>
  <c r="A321" i="1"/>
  <c r="A984" i="1"/>
  <c r="A996" i="1"/>
  <c r="A327" i="1"/>
  <c r="A435" i="1"/>
  <c r="A609" i="1"/>
  <c r="A277" i="1"/>
  <c r="A282" i="1"/>
  <c r="A400" i="1"/>
  <c r="A434" i="1"/>
  <c r="A886" i="1"/>
  <c r="A919" i="1"/>
  <c r="A366" i="1"/>
  <c r="A560" i="1"/>
  <c r="A848" i="1"/>
  <c r="A626" i="1"/>
  <c r="A614" i="1"/>
  <c r="A433" i="1"/>
  <c r="A103" i="1"/>
  <c r="A130" i="1"/>
  <c r="A556" i="1"/>
  <c r="A281" i="1"/>
  <c r="A173" i="1"/>
  <c r="A221" i="1"/>
  <c r="A447" i="1"/>
  <c r="A408" i="1"/>
  <c r="A360" i="1"/>
  <c r="A628" i="1"/>
  <c r="A934" i="1"/>
  <c r="A452" i="1"/>
  <c r="A305" i="1"/>
  <c r="A260" i="1"/>
  <c r="A380" i="1"/>
  <c r="A641" i="1"/>
  <c r="A525" i="1"/>
  <c r="A143" i="1"/>
  <c r="A378" i="1"/>
  <c r="A207" i="1"/>
  <c r="A155" i="1"/>
  <c r="A931" i="1"/>
  <c r="A410" i="1"/>
  <c r="A411" i="1"/>
  <c r="A412" i="1"/>
  <c r="A413" i="1"/>
  <c r="A414" i="1"/>
  <c r="A456" i="1"/>
  <c r="A151" i="1"/>
  <c r="A935" i="1"/>
  <c r="A912" i="1"/>
  <c r="A110" i="1"/>
  <c r="A954" i="1"/>
  <c r="A913" i="1"/>
  <c r="A930" i="1"/>
  <c r="A184" i="1"/>
  <c r="A932" i="1"/>
  <c r="A933" i="1"/>
  <c r="A561" i="1"/>
  <c r="A597" i="1"/>
  <c r="A474" i="1"/>
  <c r="A177" i="1"/>
  <c r="A183" i="1"/>
  <c r="A290" i="1"/>
  <c r="A979" i="1"/>
  <c r="A980" i="1"/>
  <c r="A158" i="1"/>
  <c r="A159" i="1"/>
  <c r="A160" i="1"/>
  <c r="A227" i="1"/>
  <c r="A275" i="1"/>
  <c r="A276" i="1"/>
  <c r="A157" i="1"/>
  <c r="A580" i="1"/>
  <c r="A858" i="1"/>
  <c r="A978" i="1"/>
  <c r="A652" i="1"/>
  <c r="A368" i="1"/>
  <c r="A647" i="1"/>
  <c r="A432" i="1"/>
  <c r="A335" i="1"/>
  <c r="A431" i="1"/>
  <c r="A554" i="1"/>
  <c r="A461" i="1"/>
  <c r="A407" i="1"/>
  <c r="A543" i="1"/>
  <c r="A575" i="1"/>
  <c r="A576" i="1"/>
  <c r="A421" i="1"/>
  <c r="A31" i="1"/>
  <c r="A656" i="1"/>
  <c r="A308" i="1"/>
  <c r="A981" i="1"/>
  <c r="A255" i="1"/>
  <c r="A39" i="1"/>
  <c r="A280" i="1"/>
  <c r="A242" i="1"/>
  <c r="A683" i="1"/>
  <c r="A267" i="1"/>
  <c r="A265" i="1"/>
  <c r="A822" i="1"/>
  <c r="A289" i="1"/>
  <c r="A511" i="1"/>
  <c r="A489" i="1"/>
  <c r="A30" i="1"/>
  <c r="A964" i="1"/>
  <c r="A965" i="1"/>
  <c r="A966" i="1"/>
  <c r="A77" i="1"/>
  <c r="A422" i="1"/>
  <c r="A562" i="1"/>
  <c r="A563" i="1"/>
  <c r="A340" i="1"/>
  <c r="A307" i="1"/>
  <c r="A98" i="1"/>
  <c r="A821" i="1"/>
  <c r="A469" i="1"/>
  <c r="A872" i="1"/>
  <c r="A117" i="1"/>
  <c r="A459" i="1"/>
  <c r="A268" i="1"/>
  <c r="A950" i="1"/>
  <c r="A564" i="1"/>
  <c r="A1002" i="1"/>
  <c r="A990" i="1"/>
  <c r="A991" i="1"/>
  <c r="A164" i="1"/>
  <c r="A517" i="1"/>
  <c r="A951" i="1"/>
  <c r="A518" i="1"/>
  <c r="A527" i="1"/>
  <c r="A361" i="1"/>
  <c r="A928" i="1"/>
  <c r="A393" i="1"/>
  <c r="A51" i="1"/>
  <c r="A1005" i="1"/>
  <c r="A929" i="1"/>
  <c r="A57" i="1"/>
  <c r="A52" i="1"/>
  <c r="A58" i="1"/>
  <c r="A59" i="1"/>
  <c r="A171" i="1"/>
  <c r="A312" i="1"/>
  <c r="A705" i="1"/>
  <c r="A681" i="1"/>
  <c r="A78" i="1"/>
  <c r="A79" i="1"/>
  <c r="A80" i="1"/>
  <c r="A81" i="1"/>
  <c r="A82" i="1"/>
  <c r="A287" i="1"/>
  <c r="A288" i="1"/>
  <c r="A83" i="1"/>
  <c r="A29" i="1"/>
  <c r="A428" i="1"/>
  <c r="A429" i="1"/>
  <c r="A84" i="1"/>
  <c r="A62" i="1"/>
  <c r="A430" i="1"/>
  <c r="A53" i="1"/>
  <c r="A63" i="1"/>
  <c r="A64" i="1"/>
  <c r="A55" i="1"/>
  <c r="A56" i="1"/>
  <c r="A596" i="1"/>
  <c r="A54" i="1"/>
  <c r="A85" i="1"/>
  <c r="A65" i="1"/>
  <c r="A66" i="1"/>
  <c r="A67" i="1"/>
  <c r="A68" i="1"/>
  <c r="A91" i="1"/>
  <c r="A926" i="1"/>
  <c r="A92" i="1"/>
  <c r="A89" i="1"/>
  <c r="A86" i="1"/>
  <c r="A93" i="1"/>
  <c r="A927" i="1"/>
  <c r="A87" i="1"/>
  <c r="A88" i="1"/>
  <c r="A60" i="1"/>
  <c r="A61" i="1"/>
  <c r="A69" i="1"/>
  <c r="A70" i="1"/>
  <c r="A71" i="1"/>
  <c r="A72" i="1"/>
  <c r="A451" i="1"/>
  <c r="A682" i="1"/>
  <c r="A680" i="1"/>
  <c r="A467" i="1"/>
  <c r="A997" i="1"/>
  <c r="A883" i="1"/>
  <c r="A653" i="1"/>
  <c r="A341" i="1"/>
  <c r="A1006" i="1"/>
  <c r="A558" i="1"/>
  <c r="A924" i="1"/>
  <c r="A253" i="1"/>
  <c r="A905" i="1"/>
  <c r="A420" i="1"/>
  <c r="A278" i="1"/>
  <c r="A323" i="1"/>
  <c r="A374" i="1"/>
  <c r="A906" i="1"/>
  <c r="A565" i="1"/>
  <c r="A907" i="1"/>
  <c r="A925" i="1"/>
  <c r="A460" i="1"/>
  <c r="A279" i="1"/>
  <c r="A162" i="1"/>
  <c r="A350" i="1"/>
  <c r="A137" i="1"/>
  <c r="A566" i="1"/>
  <c r="A297" i="1"/>
  <c r="A298" i="1"/>
  <c r="A946" i="1"/>
  <c r="A914" i="1"/>
  <c r="A427" i="1"/>
  <c r="A876" i="1"/>
  <c r="A301" i="1"/>
  <c r="A908" i="1"/>
  <c r="A947" i="1"/>
  <c r="A390" i="1"/>
  <c r="A594" i="1"/>
  <c r="A595" i="1"/>
  <c r="A373" i="1"/>
  <c r="A241" i="1"/>
  <c r="A141" i="1"/>
  <c r="A295" i="1"/>
  <c r="A958" i="1"/>
  <c r="A271" i="1"/>
  <c r="A365" i="1"/>
  <c r="A402" i="1"/>
  <c r="A403" i="1"/>
  <c r="A404" i="1"/>
  <c r="A405" i="1"/>
  <c r="A406" i="1"/>
  <c r="A645" i="1"/>
  <c r="A948" i="1"/>
  <c r="A949" i="1"/>
  <c r="A252" i="1"/>
  <c r="A254" i="1"/>
  <c r="A247" i="1"/>
  <c r="A649" i="1"/>
  <c r="A396" i="1"/>
  <c r="A248" i="1"/>
  <c r="A372" i="1"/>
  <c r="A522" i="1"/>
  <c r="A249" i="1"/>
  <c r="A391" i="1"/>
  <c r="A392" i="1"/>
  <c r="A358" i="1"/>
  <c r="A228" i="1"/>
  <c r="A503" i="1"/>
  <c r="A508" i="1"/>
  <c r="A632" i="1"/>
  <c r="A332" i="1"/>
  <c r="A311" i="1"/>
  <c r="A450" i="1"/>
  <c r="A362" i="1"/>
  <c r="A193" i="1"/>
  <c r="A185" i="1"/>
  <c r="A847" i="1"/>
  <c r="A270" i="1"/>
  <c r="A462" i="1"/>
  <c r="A273" i="1"/>
  <c r="A349" i="1"/>
  <c r="A541" i="1"/>
  <c r="A463" i="1"/>
  <c r="A542" i="1"/>
  <c r="A353" i="1"/>
  <c r="A458" i="1"/>
  <c r="A250" i="1"/>
  <c r="A251" i="1"/>
  <c r="A182" i="1"/>
  <c r="A497" i="1"/>
  <c r="A296" i="1"/>
  <c r="A673" i="1"/>
  <c r="A853" i="1"/>
  <c r="A674" i="1"/>
  <c r="A486" i="1"/>
  <c r="A855" i="1"/>
  <c r="A220" i="1"/>
  <c r="A819" i="1"/>
  <c r="A231" i="1"/>
  <c r="A97" i="1"/>
  <c r="A818" i="1"/>
  <c r="A567" i="1"/>
  <c r="A333" i="1"/>
  <c r="A43" i="1"/>
  <c r="A923" i="1"/>
  <c r="A955" i="1"/>
  <c r="A212" i="1"/>
  <c r="A213" i="1"/>
  <c r="A165" i="1"/>
  <c r="A672" i="1"/>
  <c r="A152" i="1"/>
  <c r="A827" i="1"/>
  <c r="A237" i="1"/>
  <c r="A375" i="1"/>
  <c r="A963" i="1"/>
  <c r="A42" i="1"/>
  <c r="A974" i="1"/>
  <c r="A976" i="1"/>
  <c r="A953" i="1"/>
  <c r="A670" i="1"/>
  <c r="A480" i="1"/>
  <c r="A665" i="1"/>
  <c r="A229" i="1"/>
  <c r="A668" i="1"/>
  <c r="A528" i="1"/>
  <c r="A593" i="1"/>
  <c r="A977" i="1"/>
  <c r="A630" i="1"/>
  <c r="A135" i="1"/>
  <c r="A650" i="1"/>
  <c r="A397" i="1"/>
  <c r="A154" i="1"/>
  <c r="A376" i="1"/>
  <c r="A377" i="1"/>
  <c r="A625" i="1"/>
  <c r="A568" i="1"/>
  <c r="A651" i="1"/>
  <c r="A394" i="1"/>
  <c r="A395" i="1"/>
  <c r="A604" i="1"/>
  <c r="A35" i="1"/>
  <c r="A315" i="1"/>
  <c r="A504" i="1"/>
  <c r="A134" i="1"/>
  <c r="A331" i="1"/>
  <c r="A624" i="1"/>
  <c r="A922" i="1"/>
  <c r="A468" i="1"/>
  <c r="A671" i="1"/>
  <c r="A133" i="1"/>
  <c r="A664" i="1"/>
  <c r="A667" i="1"/>
  <c r="A941" i="1"/>
  <c r="A535" i="1"/>
  <c r="A608" i="1"/>
  <c r="A555" i="1"/>
  <c r="A118" i="1"/>
  <c r="A722" i="1"/>
  <c r="A723" i="1"/>
  <c r="A389" i="1"/>
  <c r="A314" i="1"/>
  <c r="A214" i="1"/>
  <c r="A156" i="1"/>
  <c r="A724" i="1"/>
  <c r="A698" i="1"/>
  <c r="A168" i="1"/>
  <c r="A642" i="1"/>
  <c r="A627" i="1"/>
  <c r="A640" i="1"/>
  <c r="A635" i="1"/>
  <c r="A643" i="1"/>
  <c r="A631" i="1"/>
  <c r="A618" i="1"/>
  <c r="A620" i="1"/>
  <c r="A621" i="1"/>
  <c r="A304" i="1"/>
  <c r="A300" i="1"/>
  <c r="A269" i="1"/>
  <c r="A354" i="1"/>
  <c r="A646" i="1"/>
  <c r="A639" i="1"/>
  <c r="A644" i="1"/>
  <c r="A619" i="1"/>
  <c r="A725" i="1"/>
  <c r="A726" i="1"/>
  <c r="A636" i="1"/>
  <c r="A637" i="1"/>
  <c r="A622" i="1"/>
  <c r="A623" i="1"/>
  <c r="A678" i="1"/>
  <c r="A633" i="1"/>
  <c r="A638" i="1"/>
  <c r="A629" i="1"/>
  <c r="A634" i="1"/>
  <c r="A817" i="1"/>
  <c r="A509" i="1"/>
  <c r="A230" i="1"/>
  <c r="A657" i="1"/>
  <c r="A457" i="1"/>
  <c r="A138" i="1"/>
  <c r="A713" i="1"/>
  <c r="A501" i="1"/>
  <c r="A178" i="1"/>
  <c r="A218" i="1"/>
  <c r="A129" i="1"/>
  <c r="A526" i="1"/>
  <c r="A180" i="1"/>
  <c r="A585" i="1"/>
  <c r="A586" i="1"/>
  <c r="A587" i="1"/>
  <c r="A3" i="1"/>
  <c r="A658" i="1"/>
  <c r="A488" i="1"/>
  <c r="A136" i="1"/>
  <c r="A179" i="1"/>
  <c r="A236" i="1"/>
  <c r="A306" i="1"/>
  <c r="A263" i="1"/>
  <c r="A330" i="1"/>
  <c r="A302" i="1"/>
  <c r="A920" i="1"/>
  <c r="A264" i="1"/>
  <c r="A215" i="1"/>
  <c r="A128" i="1"/>
  <c r="A487" i="1"/>
  <c r="A310" i="1"/>
  <c r="A219" i="1"/>
  <c r="A710" i="1"/>
  <c r="A346" i="1"/>
  <c r="A655" i="1"/>
  <c r="A313" i="1"/>
  <c r="A464" i="1"/>
  <c r="A519" i="1"/>
  <c r="A581" i="1"/>
  <c r="A582" i="1"/>
  <c r="A887" i="1"/>
  <c r="A4" i="1"/>
  <c r="A544" i="1"/>
  <c r="A936" i="1"/>
  <c r="A326" i="1"/>
  <c r="A48" i="1"/>
  <c r="A309" i="1"/>
  <c r="A481" i="1"/>
  <c r="A482" i="1"/>
  <c r="A223" i="1"/>
  <c r="A603" i="1"/>
  <c r="A345" i="1"/>
  <c r="A577" i="1"/>
  <c r="A727" i="1"/>
  <c r="A125" i="1"/>
  <c r="A352" i="1"/>
  <c r="A169" i="1"/>
  <c r="A272" i="1"/>
  <c r="A170" i="1"/>
  <c r="A234" i="1"/>
  <c r="A174" i="1"/>
  <c r="A347" i="1"/>
  <c r="A132" i="1"/>
  <c r="A344" i="1"/>
  <c r="A224" i="1"/>
  <c r="A239" i="1"/>
  <c r="A570" i="1"/>
  <c r="A571" i="1"/>
  <c r="A257" i="1"/>
  <c r="A167" i="1"/>
  <c r="A359" i="1"/>
  <c r="A530" i="1"/>
  <c r="A728" i="1"/>
  <c r="A611" i="1"/>
  <c r="A1009" i="1"/>
  <c r="A714" i="1"/>
  <c r="A261" i="1"/>
  <c r="A729" i="1"/>
  <c r="A201" i="1"/>
  <c r="A730" i="1"/>
  <c r="A367" i="1"/>
  <c r="A662" i="1"/>
  <c r="A677" i="1"/>
  <c r="A583" i="1"/>
  <c r="A584" i="1"/>
  <c r="A731" i="1"/>
  <c r="A559" i="1"/>
  <c r="A498" i="1"/>
  <c r="A654" i="1"/>
  <c r="A659" i="1"/>
  <c r="A572" i="1"/>
  <c r="A115" i="1"/>
  <c r="A163" i="1"/>
  <c r="A689" i="1"/>
  <c r="A870" i="1"/>
  <c r="A732" i="1"/>
  <c r="A733" i="1"/>
  <c r="A588" i="1"/>
  <c r="A589" i="1"/>
  <c r="A663" i="1"/>
  <c r="A939" i="1"/>
  <c r="A734" i="1"/>
  <c r="A41" i="1"/>
  <c r="A675" i="1"/>
  <c r="A735" i="1"/>
  <c r="A12" i="1"/>
  <c r="A736" i="1"/>
  <c r="A119" i="1"/>
  <c r="A112" i="1"/>
  <c r="A943" i="1"/>
  <c r="A828" i="1"/>
  <c r="A126" i="1"/>
  <c r="A737" i="1"/>
  <c r="A738" i="1"/>
  <c r="A739" i="1"/>
  <c r="A740" i="1"/>
  <c r="A116" i="1"/>
  <c r="A122" i="1"/>
  <c r="A660" i="1"/>
  <c r="A702" i="1"/>
  <c r="A741" i="1"/>
  <c r="A206" i="1"/>
  <c r="A688" i="1"/>
  <c r="A711" i="1"/>
  <c r="A610" i="1"/>
  <c r="A602" i="1"/>
  <c r="A606" i="1"/>
  <c r="A495" i="1"/>
  <c r="A712" i="1"/>
  <c r="A888" i="1"/>
  <c r="A505" i="1"/>
  <c r="A27" i="1"/>
  <c r="A715" i="1"/>
  <c r="A742" i="1"/>
  <c r="A743" i="1"/>
  <c r="A536" i="1"/>
  <c r="A744" i="1"/>
  <c r="A496" i="1"/>
  <c r="A745" i="1"/>
  <c r="A746" i="1"/>
  <c r="A747" i="1"/>
  <c r="A748" i="1"/>
  <c r="A749" i="1"/>
  <c r="A750" i="1"/>
  <c r="A751" i="1"/>
  <c r="A690" i="1"/>
  <c r="A685" i="1"/>
  <c r="A752" i="1"/>
  <c r="A691" i="1"/>
  <c r="A485" i="1"/>
  <c r="A419" i="1"/>
  <c r="A418" i="1"/>
  <c r="A28" i="1"/>
  <c r="A483" i="1"/>
  <c r="A484" i="1"/>
  <c r="A512" i="1"/>
  <c r="A262" i="1"/>
  <c r="A513" i="1"/>
  <c r="A258" i="1"/>
  <c r="A36" i="1"/>
  <c r="A753" i="1"/>
  <c r="A754" i="1"/>
  <c r="A857" i="1"/>
  <c r="A755" i="1"/>
  <c r="A44" i="1"/>
  <c r="A756" i="1"/>
  <c r="A208" i="1"/>
  <c r="A537" i="1"/>
  <c r="A538" i="1"/>
  <c r="A539" i="1"/>
  <c r="A540" i="1"/>
  <c r="A757" i="1"/>
  <c r="A758" i="1"/>
  <c r="A759" i="1"/>
  <c r="A692" i="1"/>
  <c r="A355" i="1"/>
  <c r="A760" i="1"/>
  <c r="A761" i="1"/>
  <c r="A695" i="1"/>
  <c r="A762" i="1"/>
  <c r="A684" i="1"/>
  <c r="A716" i="1"/>
  <c r="A699" i="1"/>
  <c r="A700" i="1"/>
  <c r="A763" i="1"/>
  <c r="A523" i="1"/>
  <c r="A524" i="1"/>
  <c r="A131" i="1"/>
  <c r="A706" i="1"/>
  <c r="A592" i="1"/>
  <c r="A826" i="1"/>
  <c r="A764" i="1"/>
  <c r="A765" i="1"/>
  <c r="A550" i="1"/>
  <c r="A703" i="1"/>
  <c r="A889" i="1"/>
  <c r="A766" i="1"/>
  <c r="A856" i="1"/>
  <c r="A767" i="1"/>
  <c r="A890" i="1"/>
  <c r="A49" i="1"/>
  <c r="A768" i="1"/>
  <c r="A697" i="1"/>
  <c r="A709" i="1"/>
  <c r="A510" i="1"/>
  <c r="A531" i="1"/>
  <c r="A532" i="1"/>
  <c r="A533" i="1"/>
  <c r="A534" i="1"/>
  <c r="A891" i="1"/>
  <c r="A551" i="1"/>
  <c r="A769" i="1"/>
  <c r="A770" i="1"/>
  <c r="A114" i="1"/>
  <c r="A552" i="1"/>
  <c r="A493" i="1"/>
  <c r="A494" i="1"/>
  <c r="A771" i="1"/>
  <c r="A772" i="1"/>
  <c r="A502" i="1"/>
  <c r="A773" i="1"/>
  <c r="A774" i="1"/>
  <c r="A506" i="1"/>
  <c r="A479" i="1"/>
  <c r="A490" i="1"/>
  <c r="A491" i="1"/>
  <c r="A492" i="1"/>
  <c r="A854" i="1"/>
  <c r="A775" i="1"/>
  <c r="A686" i="1"/>
  <c r="A776" i="1"/>
  <c r="A507" i="1"/>
  <c r="A777" i="1"/>
  <c r="A259" i="1"/>
  <c r="A778" i="1"/>
  <c r="A545" i="1"/>
  <c r="A546" i="1"/>
  <c r="A687" i="1"/>
  <c r="A520" i="1"/>
  <c r="A521" i="1"/>
  <c r="A387" i="1"/>
  <c r="A499" i="1"/>
  <c r="A500" i="1"/>
  <c r="A779" i="1"/>
  <c r="A940" i="1"/>
  <c r="A547" i="1"/>
  <c r="A444" i="1"/>
  <c r="A863" i="1"/>
  <c r="A569" i="1"/>
  <c r="A548" i="1"/>
  <c r="A514" i="1"/>
  <c r="A515" i="1"/>
  <c r="A529" i="1"/>
  <c r="A861" i="1"/>
  <c r="A516" i="1"/>
  <c r="A669" i="1"/>
  <c r="A14" i="1"/>
  <c r="A1010" i="1"/>
  <c r="A573" i="1"/>
  <c r="A574" i="1"/>
  <c r="A549" i="1"/>
  <c r="A701" i="1"/>
  <c r="A590" i="1"/>
  <c r="A15" i="1"/>
  <c r="A16" i="1"/>
  <c r="A17" i="1"/>
  <c r="A18" i="1"/>
  <c r="A19" i="1"/>
  <c r="A20" i="1"/>
  <c r="A780" i="1"/>
  <c r="A892" i="1"/>
  <c r="A445" i="1"/>
  <c r="A294" i="1"/>
  <c r="A893" i="1"/>
  <c r="A781" i="1"/>
  <c r="A666" i="1"/>
  <c r="A894" i="1"/>
  <c r="A37" i="1"/>
  <c r="A782" i="1"/>
  <c r="A895" i="1"/>
  <c r="A896" i="1"/>
  <c r="A783" i="1"/>
  <c r="A784" i="1"/>
  <c r="A124" i="1"/>
  <c r="A897" i="1"/>
  <c r="A704" i="1"/>
  <c r="A785" i="1"/>
  <c r="A786" i="1"/>
  <c r="A661" i="1"/>
  <c r="A707" i="1"/>
  <c r="A787" i="1"/>
  <c r="A189" i="1"/>
  <c r="A829" i="1"/>
  <c r="A788" i="1"/>
  <c r="A50" i="1"/>
  <c r="A356" i="1"/>
  <c r="A676" i="1"/>
  <c r="A238" i="1"/>
  <c r="A898" i="1"/>
  <c r="A789" i="1"/>
  <c r="A38" i="1"/>
  <c r="A47" i="1"/>
  <c r="A693" i="1"/>
  <c r="A842" i="1"/>
  <c r="A790" i="1"/>
  <c r="A708" i="1"/>
  <c r="A791" i="1"/>
  <c r="A792" i="1"/>
  <c r="A717" i="1"/>
  <c r="A718" i="1"/>
  <c r="A616" i="1"/>
  <c r="A46" i="1"/>
  <c r="A351" i="1"/>
  <c r="A871" i="1"/>
  <c r="A793" i="1"/>
  <c r="A830" i="1"/>
  <c r="A825" i="1"/>
  <c r="A877" i="1"/>
  <c r="A937" i="1"/>
  <c r="A831" i="1"/>
  <c r="A794" i="1"/>
  <c r="A795" i="1"/>
  <c r="A796" i="1"/>
  <c r="A797" i="1"/>
  <c r="A798" i="1"/>
  <c r="A799" i="1"/>
  <c r="A800" i="1"/>
  <c r="A801" i="1"/>
  <c r="A802" i="1"/>
  <c r="A832" i="1"/>
  <c r="A878" i="1"/>
  <c r="A803" i="1"/>
  <c r="A833" i="1"/>
  <c r="A21" i="1"/>
  <c r="A22" i="1"/>
  <c r="A23" i="1"/>
  <c r="A24" i="1"/>
  <c r="A25" i="1"/>
  <c r="A865" i="1"/>
  <c r="A617" i="1"/>
  <c r="A900" i="1"/>
  <c r="A879" i="1"/>
  <c r="A834" i="1"/>
  <c r="A846" i="1"/>
  <c r="A835" i="1"/>
  <c r="A804" i="1"/>
  <c r="A836" i="1"/>
  <c r="A202" i="1"/>
  <c r="A880" i="1"/>
  <c r="A123" i="1"/>
  <c r="A216" i="1"/>
  <c r="A45" i="1"/>
  <c r="A186" i="1"/>
  <c r="A899" i="1"/>
  <c r="A145" i="1"/>
  <c r="A146" i="1"/>
  <c r="A938" i="1"/>
  <c r="A203" i="1"/>
  <c r="A881" i="1"/>
  <c r="A805" i="1"/>
  <c r="A806" i="1"/>
  <c r="A807" i="1"/>
  <c r="A808" i="1"/>
  <c r="A809" i="1"/>
  <c r="A810" i="1"/>
  <c r="A719" i="1"/>
  <c r="A720" i="1"/>
  <c r="A837" i="1"/>
  <c r="A838" i="1"/>
  <c r="A869" i="1"/>
  <c r="A839" i="1"/>
  <c r="A867" i="1"/>
  <c r="A811" i="1"/>
  <c r="A812" i="1"/>
  <c r="A849" i="1"/>
  <c r="A852" i="1"/>
  <c r="A840" i="1"/>
  <c r="A868" i="1"/>
  <c r="A127" i="1"/>
  <c r="A841" i="1"/>
  <c r="A901" i="1"/>
  <c r="A873" i="1"/>
  <c r="A874" i="1"/>
  <c r="A862" i="1"/>
  <c r="A187" i="1"/>
  <c r="A875" i="1"/>
  <c r="A188" i="1"/>
  <c r="A813" i="1"/>
  <c r="A26" i="1"/>
  <c r="A884" i="1"/>
  <c r="A885" i="1"/>
  <c r="A902" i="1"/>
  <c r="A903" i="1"/>
  <c r="A904" i="1"/>
  <c r="A850" i="1"/>
  <c r="A851" i="1"/>
  <c r="A814" i="1"/>
  <c r="A388" i="1"/>
  <c r="A815" i="1"/>
  <c r="A694" i="1"/>
  <c r="A679" i="1"/>
  <c r="A882" i="1"/>
  <c r="A176" i="1"/>
  <c r="A10" i="1"/>
  <c r="A11" i="1"/>
  <c r="A816" i="1"/>
</calcChain>
</file>

<file path=xl/sharedStrings.xml><?xml version="1.0" encoding="utf-8"?>
<sst xmlns="http://schemas.openxmlformats.org/spreadsheetml/2006/main" count="5733" uniqueCount="3071">
  <si>
    <t>English Language for the IT Sector for Uzbekistani University Students</t>
  </si>
  <si>
    <t>DOS-UZB</t>
  </si>
  <si>
    <t>U.S. Mission to Uzbekistan</t>
  </si>
  <si>
    <t xml:space="preserve">Others (see text field entitled "Additional Information on Eligibility" for clarification) Must be an accredited public or private institute, university, or non-profit organization based in Uzbekistan or the United States. </t>
  </si>
  <si>
    <t xml:space="preserve">The U.S. Embassy Tashkent Public Diplomacy Section (PD) of the U.S. Department of State announces an open competition for organizations to submit applications to organize a two to three-week day camp in Uzbekistan to improve university studentsâ€™ English and IT skills in summer of 2025. The project must be innovative and creative to promote and improve English language learning as well as master basic and intermediate IT/software skills. This grant seeks to support initiatives such as: improving the quality of English language learning; introducing and training university students to new and existing IT programs; teaching communicative English in the IT sphere; and increasing awareness of emerging trends in IT.  This funding opportunity seeks to improve the quality of English and IT in the country by supporting a multi-week, day camp focused on: improving the quality of English language usage within the IT sector; introducing and training university students on new and existing IT related technologies; teaching communicative English within a professional setting; and exposing students to emerging trends in IT. Grantees are expected to publicize project activities, including through social media and/or traditional press outlets; and highlight U.S. Embassy, Tashkent support, with our logo included on project-related materials. </t>
  </si>
  <si>
    <t>Marine and Blue Economy Hackathon</t>
  </si>
  <si>
    <t>DOS-NGA</t>
  </si>
  <si>
    <t>U.S. Mission to Nigeria</t>
  </si>
  <si>
    <t xml:space="preserve">For profit organizations other than small businesses </t>
  </si>
  <si>
    <t>The U.S. Department of State announces an open competition for organizations to submit applications to facilitate the launch of the Marine and Blue Economy Hackathon. Please follow all instructions below.
Priority Region: Lagos, Nigeria
Overview and Purpose
Inadequate technological solutions and lack of coordination across Nigeriaâ€™s marine and blue economy-related sectors have led to untapped economic opportunities, unsustainable fishing practices, plastic pollution, and environmental damage. To implement the Partnership for Atlantic Cooperation Plan of Action and to bolster U.S.-Nigeria relations, a selected implementing partner, in consultation with the U.S. Mission Nigeria, will launch the Marine and Blue Economy Hackathon. This two- to three-day event will bring together approximately 60 working-level government officials, private sector experts, academics, entrepreneurs, and students to crowdsource innovative technical solutions to marine and blue economy-related problems.
Defining Problem Statements, Crowdsourcing Solutions, and Measuring Results
The selected implementing partner, in consultation with the U.S. Mission in Nigeria, will define three marine and blue economy-focused problem statements. Problem statements should reflect local needs and the priorities established by the Partnership for Atlantic Cooperation member countries including sustainable fisheries management, plastic pollution prevention, coastal community resilience, marine conservation, sustainable aquaculture management, â€œghost gearâ€ solutions, aquatic food technology advancement, ocean data and information gathering and analysis, and marine spatial planning implementation. 
During the hackathon, participants will:
(a) translate multifaceted problems into succinct technical specifications and statements recognizable to software and technology designers; and
(b) form teams to generate actionable and innovative technical solutions to the shared problem statement(s). 
At the end of the hackathon, a winner will be selected by a board of American and Nigerian judges for the â€œmost innovative and impactful solutionâ€ developed, and a prize will be offered. After the hackathon, participants will then deploy the solutions they collaboratively design, leverage partnerships established with their counterparts across the sector, and closely coordinate with one another to ensure the solutions address the identified problems. Hackathon results can be measured by number and quality of targeted small-group sessions, the introduction of new tools and technologies, and creation of prototypes that address the problems hackathon participants tackle.
In order to be considered, implementing partner applicants must demonstrate a clear commitment to inclusive participation. The selected implementing partner must reach out to potential participants from marginalized populations and communities, ensure balance among hackathon participants, and provide accessibility accommodations as needed.
Participants and Audiences
This two- to three-day event will bring together approximately 60 working-level government officials, private sector experts, academics, entrepreneurs, and students to crowdsource innovative technical solutions to marine and blue economy-related problems.</t>
  </si>
  <si>
    <t>Technical and Vocational Education and Training (TVET) Support Program</t>
  </si>
  <si>
    <t>DOS-GEO</t>
  </si>
  <si>
    <t>U.S. Mission to Georgia</t>
  </si>
  <si>
    <t>Others (see text field entitled "Additional Information on Eligibility" for clarification) Eligibility is limited to Georgian public and private authorized TVET institutions.</t>
  </si>
  <si>
    <t>The Public Diplomacy Section (PDS) of the U.S. Embassy in Tbilisi is pleased to announce an open competition for the Georgian TVET Institutions to submit applications to the Technical and Vocational Education and Training (TVET) Support Program 2024. Interested applicants should submit proposals to TbilisiGrants@state.gov by July 1, 2024, 18:00.
A. PROGRAM DESCRIPTION
Background: 
Georgiaâ€™s Technical and Vocational Education and Training (TVET) reforms are aimed at supporting socio-economic development, poverty reduction, and developing human capital to meet the needs of the labor market. Thus far, reform has primarily focused on identifying labor force needs and reducing the mismatch between supply and demand, to reduce overall unemployment and increase the employment rates of TVET graduates. Self-employment (mainly underemployment in subsistence agriculture) and high urban unemployment remain major economic challenges. 
The gender imbalance in vocational education is a significant challenge to the development of an inclusive TVET system and a barrier to womenâ€™s labor force participation. Community or family beliefs undermine the potential role of women in contributing to sustainable and productive livelihoods. Gender stereotypes about the kinds of work women and men â€œshouldâ€ do limit students from pursuing satisfying careers in non-traditional areas. Negative gender norms and beliefs hold back girls and women from applying for traditionally male-dominated trades in lieu of female-dominated trades, which may not necessarily lead to profitable work. We face the same problem with female-dominated fields where negative gender norms are affecting boys and menâ€™s decisions to follow some specific career paths. In general, gender-specific differences are most pronounced in the education, health, and welfare disciplines, which are clearly dominated by women. In contrast, men dominate in engineering, manufacturing, construction, and services (Geostat, 2018).
Culturally, a negative stigma affiliated with TVET harkening back to the Soviet Union, has become a significant barrier for the much-needed program. TVET is not considered a desired or first-rate career path. There is a prevailing belief that TVET qualifies graduates for low status, manual, and poorly paid jobs. Employers do not trust vocational qualifications. 
Vocational counselling and career planning services are an essential element in the countryâ€™s education and training system. Although some reforms have been started towards this direction, still counselling and guidance remain at a basic level, mainly due to insufficient staffing. As a result, students in primary and secondary education, young people and parents making important life decisions do not always have enough information on the available educational and occupational choices and they often have to make uninformed decisions.
Weak career guidance is followed by weak support for job search and job intermediation, especially for young people as they enter the labor market for the first time. The analysis shows that young people (and especially young women) face obstacles transitioning to the labor market. This includes inflation of qualifications, lack of trust of vocational qualifications, preference for higher levels of education, work experience requirements, and the mismatch of skills between supply and demand. In spite of the high level of unemployment, employers find it difficult to locate the personnel they require. 
Program Objectives:
The objectives of the Technical and Vocational Education and Training (TVET) Support Program 2024 are the following:
Â· Developing systematic vocational counselling and career guidance from school to higher education level for all learners, jobseekers, and alumni, for better informed career decisions and higher access to labor market. 
Â· Mainstreaming gender in TVET â€“ integrating a gender perspective and priority in all policy planning, implementation, and evaluation activities at all levels. 
Â· Increasing the participation of female students in formerly male-dominated TVET programs and promoting formerly nontraditional TVET programs to both, female and male students to overcome discriminatory cultural norms and community practices so that women and men benefit equally from the same opportunities. 
Â· Strengthening the capacity of TVET providers to overcome gender disparity in student recruitment and retention.
The Public Diplomacy Section (PDS) of the U.S. Embassy in Tbilisi will accept projects proposed and managed by Georgian TVET institutions that support the above listed objectives. 
Note: Proposals from regional TVET institutions that include public-private partnerships are encouraged.</t>
  </si>
  <si>
    <t>Award Competition for Hollings Manufacturing Extension Partnership (MEP) Center in the State of Florida</t>
  </si>
  <si>
    <t>DOC-NIST</t>
  </si>
  <si>
    <t>National Institute of Standards and Technology</t>
  </si>
  <si>
    <t>none</t>
  </si>
  <si>
    <t>Others (see text field entitled "Additional Information on Eligibility" for clarification) Per 15 U.S.C.   278k(a)(5), eligibility is limited to United States-based nonprofit institutions, institutions of higher education, State, United States territory, local, or tribal governments or a consortium thereof, Per 15 U.S.C.   278k(h)(2), incumbent MEP Centers that have received financial assistance for ten (10) consecutive years and that the Secretary determines are in good standing are eligible to apply under this NOFO. Please note that individuals and unincorporated sole proprietors are not considered  non-Federal entities  and are not eligible to apply under this NOFO. Although Federal entities are not eligible to receive funding under this NOFO, they may participate as unfunded collaborators.</t>
  </si>
  <si>
    <t>The NIST Hollings Manufacturing Extension Partnership (MEP), authorized by 15 U.S.C. Â§ 278k, is seeking applications from eligible applicants to enter into a cooperative agreement to operate an MEP Center in the State of Florida. The MEP Center will provide manufacturing extension services to small and mid-sized manufacturers (SMMs) in the State of Florida. The MEP Center will become part of the MEP National Networkâ„¢, which consists of 51 MEP Centers located in every State and Puerto Rico, and over 1,440 trusted advisors and experts at approximately 460 MEP service locations.</t>
  </si>
  <si>
    <t>OVC FY24 National Crime Victims  Rights Week Community Awareness Projects (2025 2027)</t>
  </si>
  <si>
    <t>USDOJ-OJP-OVC</t>
  </si>
  <si>
    <t>Office for Victims of Crime</t>
  </si>
  <si>
    <t xml:space="preserve">Nonprofits having a 501(c)(3) status with the IRS, other than institutions of higher education </t>
  </si>
  <si>
    <t>The U.S. Department of Justice (DOJ), Office of Justice Programs (OJP), Office for Victims of Crime (OVC) is seeking applications for funding. OJP is committed to advancing work that promotes civil rights and equity, increases access to justice, supports crime victims and individuals impacted by the justice system, strengthens community safety, protects the public from crime and evolving threats, and builds trust between law enforcement and the community. With this solicitation, OVC seeks to enable an organization to provide financial and technical assistance to approximately 300 communities (100 each year) nationwide to conduct public education and awareness activities on crime victimsâ€™ rights and services in their jurisdictions during the 2025â€“2027 National Crime Victimsâ€™ Rights Weeks (NCVRW). This program furthers the DOJâ€™s mission to uphold the rule of law, to keep our country safe, and to protect civil rights.</t>
  </si>
  <si>
    <t>OJJDP FY24 Youth Justice and Mental Health Collaboration Program</t>
  </si>
  <si>
    <t>USDOJ-OJP-OJJDP</t>
  </si>
  <si>
    <t xml:space="preserve">Office of Juvenile Justice Delinquency Prevention </t>
  </si>
  <si>
    <t>Others (see text field entitled "Additional Information on Eligibility" for clarification) Agencies with a different legal status (e.g., nonprofit or for-profit mental health agencies) are eligible to apply only if they meet the following two requirements: (1) the applicant is designated by the state mental health authority to provide services as a unit of the state or local government and (2) the applicant must attach documentation to support this designation.</t>
  </si>
  <si>
    <t>With this solicitation, OJJDP seeks applications for funding to support cross-system collaboration to improve responses and outcomes for youth under the age of 18 or youth under the jurisdiction of the juvenile justice system with mental health disorders (MHD) or co-occurring mental health and substance use disorders (MHSUDs) who come in contact with the juvenile justice system. This program supports public safety efforts through partnerships with youth justice, mental health, and substance use agencies to enhance responses to justice-involved youth with MHD and MHSUDs.</t>
  </si>
  <si>
    <t>Substance Use Prevention Education in the WIC Program</t>
  </si>
  <si>
    <t>USDA-FNS1</t>
  </si>
  <si>
    <t>Food and Nutrition Service</t>
  </si>
  <si>
    <t>Others (see text field entitled "Additional Information on Eligibility" for clarification) Eligible entities are accredited United States  universities and colleges that are publicly or privately funded institutions of higher education.</t>
  </si>
  <si>
    <t>The purpose of the Substance Use Prevention Education in the WIC Program project grant is to develop trainings and resources to assist State and local agency WIC staff when addressing substance use prevention and referrals with WIC participants. This opportunity provides funding to develop and deliver a train-the-trainer model substance (i.e., drug and alcohol) use education program for WIC State agencies to deliver to WIC staff, revise the WIC Substance Use Prevention Guide, develop a custom online training course for WIC staff, develop a minimum of two participant education materials, and develop and present outcomes of these four activities to FNS staff.</t>
  </si>
  <si>
    <t>Trusted Judicial Advocacy Network</t>
  </si>
  <si>
    <t>DOS-INL</t>
  </si>
  <si>
    <t>Bureau of International Narcotics-Law Enforcement</t>
  </si>
  <si>
    <t>Others (see text field entitled "Additional Information on Eligibility" for clarification)  	U.S. based non-profit/non-governmental organizations (NGOs);
 	U.S. based educational institutions subject to section 501(c)(3) of the U.S. tax code or section 26 US 115 of the U.S. tax code;
 	Foreign-based non-profits/non-governmental organizations (NGOs);
 	Foreign-based educational institutions.</t>
  </si>
  <si>
    <t>Open competition for organizations to submit applications to carry out a project to create a trusted judicial advocacy network, modeled after the American Inns of Court, that furthers professionalism, integrity, and mutual respect among peers in North Macedoniaâ€™s legal community.  Through this network, members will learn from one another and through targeted training and other opportunities to promote judicial independence, thereby contributing to strengthening rule of law.</t>
  </si>
  <si>
    <t>FY 2024 Protecting Futures: Building Capacity to Serve Children and Youth Impacted by America s Drug Crisis   Invited to Apply</t>
  </si>
  <si>
    <t>Others (see text field entitled "Additional Information on Eligibility" for clarification) This is an invited non-competitive award. Only the selected invitee may apply.</t>
  </si>
  <si>
    <t>The U.S. Department of Justice (DOJ), Office of Justice Programs (OJP), Office for Victims of Crime (OVC) is seeking an invited application for funding. OJP is committed to advancing work that promotes civil rights and equity, increases access to justice, supports crime victims and individuals impacted by the justice system, strengthens community safety, protects the public from crime and evolving threats, and builds trust between law enforcement and the community.
With this solicitation, OVC seeks to support an entity that will (1) competitively select and fund subawards to support direct services to children and youth who are crime victims impacted by the Nationâ€™s drug crisis and (2) provide technical assistance to the selected subawardees. This program furthers the DOJâ€™s mission by enhancing the fieldâ€™s response to young victims of crime and their caregivers and families affected by the drug crisis. This program furthers the DOJâ€™s mission to uphold the rule of law, to keep our country safe, and to protect civil rights.</t>
  </si>
  <si>
    <t>FY24 COPS Technology and Equipment Program Invitational Solicitation</t>
  </si>
  <si>
    <t>USDOJ-OJP-COPS</t>
  </si>
  <si>
    <t>Community Oriented Policing Services</t>
  </si>
  <si>
    <t>Others (see text field entitled "Additional Information on Eligibility" for clarification) This is an invitational program. Eligible applicants are limited to those identified in the Consolidated Appropriations Act, 2024 (Public Law 118-42) JES for the projects designated for funding. The legal name (or  doing business as  name) associated with the applicant s unique entity identifier (UEI) as registered in the System of Award Management (SAM) must coincide with the agency name listed in the JES. See Eligibility Information.</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</si>
  <si>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has been appropriated more than $20 billion to advance community policing, including grants awarded to more than 13,000 state, territorial, local and tribal law enforcement agencies to fund the hiring and redeployment of more than 136,000 officers. COPS Office information resources, covering a wide range of community policing topics such as school and campus safety, violent crime, and officer safety and wellness, can be downloaded via the COPS Officeâ€™s home page, https://cops.usdoj.gov. 
The FY24 COPS Technology and Equipment Program (TEP) provides funding to state, territorial, local, Tribal, and other entities designated under the heading â€œCommunity Oriented Policing Services, Technology and Equipment Community Projects/COPS Law Enforcement Technology and Equipmentâ€ in JES â€“ Division C, which is incorporated by reference into Public Law 118-42, to develop and acquire effective law enforcement equipment, technologies, and interoperable communications that assist in responding to and preventing crime. 
The COPS Office is committed to advancing work that promotes civil rights and equity, increases access to justice, supports crime victims and individuals impacted by the justice system, strengthens community safety, protects the public from crime and evolving threats, and builds trust between law enforcement and the community.</t>
  </si>
  <si>
    <t>BJA FY24 National Community Courts Initiative</t>
  </si>
  <si>
    <t>USDOJ-OJP-BJA</t>
  </si>
  <si>
    <t>Bureau of Justice Assistance</t>
  </si>
  <si>
    <t>Special district governments Public or private entities acting on behalf of a single treatment court through agreement with State, city, township, county, or tribal governments; and, Units of local government, such as towns, boroughs, parishes, villages, or other general purpose political subdivisions of a State</t>
  </si>
  <si>
    <t>With this solicitation, BJA seeks to support efforts by state, local, and federally recognized American Indian tribal governments to establish and enhance community courts in their jurisdictions. This program furthers the DOJâ€™s mission by providing resources to communities to enhance public safety and build trust between law enforcement and the community.</t>
  </si>
  <si>
    <t>Management Development for the Future (MDF) Series  Readiness, Facilitation, Coaching and Training with Two Agencies</t>
  </si>
  <si>
    <t>USDOJ-BOP-NIC</t>
  </si>
  <si>
    <t>National Institute of Corrections</t>
  </si>
  <si>
    <t>Others (see text field entitled "Additional Information on Eligibility" for clarification) NIC invites applications from nonprofit organizations (including faith-based, community, and tribal organizations), for-profit organizations (including tribal for-profit organizations), and institutions of higher education (including tribal institutions of higher education). Recipients, including for-profit organizations, must agree to waive any profit or fee for services. Foreign governments, international organizations, and non-governmental international organizations/institutions are not eligible to apply. Proof of 501(c) (3) status as determined by the Internal Revenue Service or an authorizing tribal resolution is required.NIC welcomes applications that involve two or more entities; however, one eligible entity must be the applicant and the others must be proposed as subrecipients. The applicant must be the entity with primary responsibility for administering the funding and managing the entire program. Only one (1) application will be accepted from a submitting organization.</t>
  </si>
  <si>
    <t>MDF is NICâ€™s Management Development for the Future series, a dynamic, agency exclusive, individual and organizational development experience, which primarily targets the middle management tier of a correctional organization. This established curriculum simultaneously engages all levels of agency leadership through internal action-based learning strategies at the individual, team and agency levels.This agency exclusive leadership development series is conducted over up to 12+ months and is provided to participants within selected partner agencies. The learning strategies used in this blended and hybrid delivery individual and organizational development series include three phases â€“ one in person 24 - hour (3 in-person days) and two fully virtual phases (seven, 3-hour virtual instructor led sessions with intersession activities between virtual sessions), each delivered approximately 4 - 5 months apart. Participants will prepare a dynamic leadership development plan, participate in individual developmental coaching, and during intercession periods between phases undertake action-based learning projects1 Campbell, Nancy M. Correctional Leadership Competencies for the 21stCentury: Executives and Senior-Level Leaders, July 2005, Retrieved from https://s3.amazonaws.com/static.nicic.gov/Library/020474.pdf2 Day, David V., John W. Fleenor, Leanna E. Atwater, Rachel E. Sturm, and Rob A. McKee. "Advances in Leader and Leadership Development: A Review of 25 Years of Research and Theory." The Leadership Quarterly 25, no. 1 (February 2014): 63-82.3 Zenger, Jack, and Joe Folkman. "Leadership Development 6.0: Connecting Leadership Development with Drivers of Business Results." Zenger Folkman, 2010. UT: Orem24AC07focused on the relevant issues in their agencies with the intention of applying skills and strategies learned in the program to build organizational capacity and manage organizational change between phases ones, two and three. The blended and hybrid MDF series simultaneously engages all levels of agency leadership through internal action-based learning strategies at the individual, team and agency levels.Pre-session activities prior to each phase include participants completing several online instruments, reading assignments and other required activities. This program is grounded in the evidence based Full Range Leadership ModelÂ© developed by Bass, B. M., and Avolio, B. J. An on-line 360-degree feedback instrument assesses the participantâ€™s behavior against the model.A proposal responsive to this solicitation should provide substantiated documentation of: 1) respondent organizational capacity and project management expertise and experience to manage multiple, overlapping projects simultaneously; 2) a minimum of 10 years of experience managing national and regional training events in corrections settings; 3) 10 years of substantiated experience setting up, hosting, producing and facilitating blended (virtual instructor led platforms) and face to face training series; 4) 10 years of substantiated experience facilitating blended and face to face leader training with correctional agencies (jails, prisons, community corrections); 5) proposed faculty with 10 years minimum experience, credentials and qualifications to administer, interpret and facilitate the Multifactor Leadership Questionnaire IIâ„¢, FIRO-Bâ„¢ Interpretative Report for Organizations, Thomas-Kilman Conflict Mode IndicatorÂ® and other instrumentation as needed based upon partner agency needs and their applications to corrections settings; 6) 10 yearsâ€™ experience for proposed faculty to perform developmental leadership coaching; 7) 10 yearsâ€™ experience facilitating experiential leadership training activities and tying them through content and leadership competencies to on the job leadership correctional applications; and 8) 10 years of experience working with executive and senior level leaders in correctional agencies on organizational development initiatives which advance agencies mission, vision and values.</t>
  </si>
  <si>
    <t>Democracy Indicators Monitoring Survey 4 (DIMS4)</t>
  </si>
  <si>
    <t>USAID</t>
  </si>
  <si>
    <t>Agency for International Development</t>
  </si>
  <si>
    <t>Unrestricted (i.e., open to any type of entity above), subject to any clarification in text field entitled "Additional Information on Eligibility" A prime applicant may submit only one (1) application in response to this Notice of Funding Opportunity. Multiple applications from the same prime applicant organization will not be accepted. Applications will not be accepted from individuals.</t>
  </si>
  <si>
    <t>Through Democracy Indicators Monitoring Survey 4 (DIMS4), the US Agency for International Development (USAID), Bureau of Latin America and the Caribbean (LAC), Office of Regional Sustainable Development (RSD), Democracy, Human Rights, and Governance (DRG) aims to support citizen-responsive governance and democratic development with rigorous public opinion research on democratic norms, attitudes, and experiences in the LAC region. This will be achieved through four primary objectives, which in summary: 1) Collect statistically rigorous, cutting edge public opinion data surveys that are inclusive, related to key democratic attitudes and behaviors, contribute to long-term trend analysis, and are relevant for all stakeholders in informing policy and regulation decisions around democratic issues ; 2) Disseminate data, analysis, and research about democratic norms and attitudes in LAC; 3) Innovate by supporting and developing topics and methodologies in public opinion research and analysis; and 4) Localize the local capacity of researchers and institutions on survey design, data collection, data analysis and reporting, and evidence based policy making. These objectives consider longitudinal, country, and comparative cross-national trend analysis on topics relevant to the democracy sector in LAC, such as democratic norms and values, perceptions of institutions, and experiences with corruption, crime victimization, and migration.</t>
  </si>
  <si>
    <t>IACA Mexico Chapter</t>
  </si>
  <si>
    <t>Others (see text field entitled "Additional Information on Eligibility" for clarification) Foreign-based non-profits/non-governmental organizations (NGOs)</t>
  </si>
  <si>
    <t>The Bureau of International Narcotics and Law Enforcement Affairs of the U.S. Department of State announces an open competition for organizations to submit applications to carry out a project to establish a chapter of the International Association of Criminal Analysts (IACA) in Mexico with the aim of providing training, professional growth, and networking opportunities for federal and state criminal analysts of security and justice institutions of the Government of Mexico.</t>
  </si>
  <si>
    <t>Cooperative Agreement for CESU-affiliated Partner with Californian Cooperative Ecosystem Studies Unit</t>
  </si>
  <si>
    <t>DOI-USGS1</t>
  </si>
  <si>
    <t>Geological Survey</t>
  </si>
  <si>
    <t>Others (see text field entitled "Additional Information on Eligibility" for clarification) This financial assistance opportunity is being issued under a Cooperative Ecosystem Studies Unit (CESU) Program.  CESUs are partnerships that provide research, technical assistance, and education.  The eligible recipient must be a participating partner of the Californian Cooperative Ecosystem Studies Unit (CESU) Program.</t>
  </si>
  <si>
    <t>The US Geological Survey Water Mission Area (WMA)â€™s Integrated Water Availability Assessments (IWAAs) is offering a funding opportunity to a CESU Partner for research in delivery of assessments of water supplies for human and ecological needs, identification of factors that influence water availability, and identification of potential implications for future water availability to multiple uses and users. To that end, understanding how socioeconomic and policy drivers interact with hydrologic and climate processes and scenarios is essential for providing relevant information to decisionmakers in an increasingly complex, interdependent, and uncertain world. A hydro-economic analysis of how water is used for irrigated agriculture, and what the implications are for local communities and for the regionâ€™s food system, can help to better inform these tradeoffs. This work seeks to extend water use modeling capabilities to better characterize and integrate the dimensions of governance, economic incentives, and socioeconomic consequences that are currently omitted in traditional water use modeling.</t>
  </si>
  <si>
    <t>Cooperative Agreement for CESU-affiliated Partner with Gulf Coast Cooperative Ecosystem Studies Unit</t>
  </si>
  <si>
    <t>Others (see text field entitled "Additional Information on Eligibility" for clarification) This financial assistance opportunity is being issued under a Cooperative Ecosystem Studies Unit (CESU) Program.  CESU s are partnerships that provide research, technical assistance, and education. Eligible recipients must be a participating partner of the Gulf Coast partners of the Cooperative Ecosystem Studies Unit (CESU) Program.</t>
  </si>
  <si>
    <t>The U.S. Geological Survey, Wetland and Aquatic Research Center (WARC) is offering a funding opportunity to a CESU partner for research in advancing software implementation and deployment of custom applications targeting barrier island habitat change / classification, geo-environmental, and species population control scenarios all while promoting zero-trust architecture practices. This effort should generally contribute to the research, computer science, and resource management communities.</t>
  </si>
  <si>
    <t>Cooperative Agreement for CESU-affiliated Partner with Rocky Mountain Cooperative Ecosystem Studies Unit</t>
  </si>
  <si>
    <t>Others (see text field entitled "Additional Information on Eligibility" for clarification) This financial assistance opportunity is being issued under a Cooperative Ecosystem Studies Unit (CESU) Program.  CESU s are partnerships that provide research, technical assistance, and education. Eligible recipients must be a participating partner of Rocky Mountain Cooperative Ecosystem Studies Unit (CESU) Program.</t>
  </si>
  <si>
    <t>The US Geological Survey (USGS) is offering a funding opportunity to a CESU partner for research to incorporate additional datasets and to develop visualization and analysis tools for those large spatial datasets within the context of the USGS glacier dashboard. The utility of the rapidly increasing availability of spatially distributed datasets from remote sensing and modelling is primarily limited by the ability to visualize and analyze these data concurrently in context with the other available data. The goal of the glacier dashboard is to democratize data availability and usability through a single online interactive platform. Specifically, the intention of this funding opportunity is to add additional datasets to the glacier dashboard and to increase the analysis capabilities. Additional datasets include, but are not limited to, minimum snow-covered area data from Zeller et al., in press, time-variable glacier outlines from various sources, and proglacial and periglacial lake datasets from Rick et al, 2023. The principal additional analysis capabilities are to create functionalities to view time-variable data, and to create functionalities to allow aggregation and averaging of data by management units (i.e., what is the range and average of any given dataset within a particular National Park, or within a particular National Forest).</t>
  </si>
  <si>
    <t>Somnus</t>
  </si>
  <si>
    <t>DOD-DARPA-BTO</t>
  </si>
  <si>
    <t>DARPA - Biological Technologies Office</t>
  </si>
  <si>
    <t>Others (see text field entitled "Additional Information on Eligibility" for clarification) All responsible sources capable of satisfying the Government's needs may submit a proposal that shall be considered by DARPA.  See the Eligibility Information section of the BAA for more information.</t>
  </si>
  <si>
    <t>This Research Announcement represents a Solicitation for a research thrust, entitled Somnus, that will focus on the identification of molecules and mechanisms of host interactions with the gut microbiome that are associated with the restorative effect of sleep on cognitive performance. DARPAâ€™s Biological Technologies Office (BTO) solicits rapid, targeted and limited scope investments through our Research Announcements. A Research Announcement enables DARPA to initiate a new investment in less than 120 calendar days after the proposal submission window for this RA closes.</t>
  </si>
  <si>
    <t>DRL Dignity in Documentation Initiative (DIDI)</t>
  </si>
  <si>
    <t>DOS-DRL</t>
  </si>
  <si>
    <t>Bureau of Democracy Human Rights and Labor</t>
  </si>
  <si>
    <t>Others (see text field entitled "Additional Information on Eligibility" for clarification) DRL welcomes applications from U.S.-based and foreign-based non-profit organizations/nongovernmental organizations (NGO) and public international organizations; private, public, or state institutions of higher education; and for-profit organizations or businesses.  DRL s preference is to work with non-profit entities; however, there may be some occasions when a for-profit entity is best suited.  
Applications submitted by for-profit entities may be subject to additional review following the panel selection process.  Additionally, the Department of State prohibits profit to for-profit or commercial organizations under its assistance awards.  Profit is defined as any amount in excess of allowable direct and indirect costs.  The allowability of costs incurred by commercial organizations is determined in accordance with the provisions of the Federal Acquisition Regulation (FAR) at 48 CFR 30, Cost Accounting Standards Administration, and 48 CFR 31 Contract Cost Principles and Procedures.</t>
  </si>
  <si>
    <t>The U.S. Department of State, Bureau of Democracy, Human Rights, and Labor (DRL) announces an open competition for a new project, â€œDignity in Documentation Initiativeâ€ (DIDI).  This effort focuses on global, integrated, and holistic CRSV documentation programming seeking truth and justice for victims and survivors as well as accountability for crimes committed in violation of international human rights and humanitarian law.  The DIDI must take a survivor-centered and trauma-informed approach, prioritizing the individual needs and efforts of CRSV survivors, while supporting survivor networks, civil society, and community-based organizations.  This solicitation will result in the first tranche of these program efforts, with incremental funding envisioned over the life of the 5-year project, depending on the availability of funding.</t>
  </si>
  <si>
    <t>Advancing HIV service delivery through pharmacies and pharmacists (R01 Clinical Trial Optional)</t>
  </si>
  <si>
    <t>HHS-NIH11</t>
  </si>
  <si>
    <t>National Institutes of Health</t>
  </si>
  <si>
    <t>Special district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</si>
  <si>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Notice of Funding Opportunity (NOFO) is to solicit research designed to capacitate, transform, and scale the delivery of HIV testing, prevention, and care services through pharmacists and pharmacies in US and/or global settings. This includes theadvancement of training curricula to enable pharmacy students, pharmacists, pharmacies, and pharmacy systems to deliver the spectrum of needed HIV services with ease, equity, and effectiveness.
This NOFO uses the R01 grant mechanism, while RFA-MH-25-186 uses the R21 mechanism. Projects that lack preliminary data or that propose to pilot a novel intervention may be most appropriate for the R21 mechanism. Applications with preliminary data and those proposing large-scale clinical trials or longitudinal analyses should consider using the R01 mechanism.</t>
  </si>
  <si>
    <t>Libya Engagement with Voters for Equitable Representation (EVER)</t>
  </si>
  <si>
    <t>USAID-MERP</t>
  </si>
  <si>
    <t>Middle East Regional Platform USAID-MERP</t>
  </si>
  <si>
    <t xml:space="preserve">Unrestricted (i.e., open to any type of entity above), subject to any clarification in text field entitled "Additional Information on Eligibility" </t>
  </si>
  <si>
    <t xml:space="preserve">The USAID funded Libya EVER Activity is a new five-year activity whose goal is to improve the effectiveness of key Libyan institutions and build the capacity of a diverse set of Libyan actors to advance the democratic political transition, including national and local elections, and support a stronger more inclusive democratic culture in Libya. 
The Libya EVER Activity (â€œThe Activityâ€) has two main objectives:
 Objective 1: Strengthen Libyaâ€™s election institutions and government stakeholders to carry out credible electoral and political processes at the local and national levels 
 Objective 2: Empower the diversity of Libyaâ€™s citizens and civil society to advance the democratic process in Libya.
</t>
  </si>
  <si>
    <t>Ukraine Cultural Heritage Response Initiative Countering False Narratives</t>
  </si>
  <si>
    <t>DOS-ECA</t>
  </si>
  <si>
    <t>Bureau Of Educational and Cultural Affairs</t>
  </si>
  <si>
    <t>Others (see text field entitled "Additional Information on Eligibility" for clarification) Foreign Institution of Higher Education; Foreign-based non-profit organizations/nongovernment organizations (NGO); Foreign Public Entity; U.S. Non-Profit Organization (IRC section 501(c)(3)); U.S. Institution of Higher Education</t>
  </si>
  <si>
    <t>The overall intent of this initiative is to support projects and initiatives that use exchange and other forms of interchange and collaboration to strengthen programs that help communities, civil society, and government institutions counter false narratives related to cultural heritage. Full application instructions are available on the Related Documents tab. NOTE: All applications must be submitted via email to the address specified in the application instructions. Applicants cannot submit materials via Grants.gov.</t>
  </si>
  <si>
    <t>A Cultural Approach to Good Health and Wellness in Indian Country (GHWIC)</t>
  </si>
  <si>
    <t>HHS-CDC-NCCDPHP</t>
  </si>
  <si>
    <t>Centers for Disease Control - NCCDPHP</t>
  </si>
  <si>
    <t>Others (see text field entitled "Additional Information on Eligibility" for clarification) Component 1: Federally recognized American Indian Tribes/Alaska Native Villages, and Urban Indian Organizations (UIOs).Component 2: Tribal organizations that support all American Indian Tribes/Alaska Native Villages in their Area (12 IHS Administrative Areas), or Urban Indian Organizations (Urban Area defined for this NOFO) and have at least 4 Tribes/Villages or UIOs in their Area.Component 3: Tribal organizations that support all American Indian Tribes/Alaska Native Villages in their Area (12 IHS Administrative Areas), or Urban Indian Organizations (Urban Area defined for this NOFO) and have at least 4 Tribes/Villages or UIOs in their Area.Note: Unless otherwise defined, the term   in this NOFO refers to the 12 IHS Administrative Areas and the Urban Area defined for this NOFO as the group of UIOs listed at: https://www.ihs.gov/urban/nationalprograms/.Eligibility is limited to a) Federally Recognized American Indian Tribes/Alaska Native Villages, b) Urban Indian Organizations (UIOs) that have current Title V Indian Health Care Improvement Act contracts with the Indian Health Services, and c) American Indian or Alaska Native Tribal Organizations.In fiscal year (FY) 2019, Conference Report (CR), HR 115-862, provided that funding was included to  expand the Good Health and Wellness in Indian Country program  stating that the  Good Health initiative supports efforts by American Indian and Alaska Native communities to implement holistic and culturally adapted approaches to reduce tobacco use, improve physical activity and nutrition, and increase health literacy.  This language builds on support for the program expressed in reports accompanying previous appropriations (e.g., the Explanatory Statement to the FY 2017 Appropriations stated that CDC should be guided by HR 114-699, that provided that  CDC is expected to build on these existing programs  Good Health and Wellness in Indian Country  (GHWIC) to allow for a more comprehensive public health infrastructure in tribal communities and the ability to develop mechanisms to improve good health and wellness in Indian Country. In subsequent FYs, funding was either continued at previous enacted levels or increased.FY 2023, HR 117-403, recommended an increase of $4,000,000.FY 2022, HR 117-96, included an increase of $5,000,000.FY 2021, HR 116-450, recommended an increase of $2,000,000.FY 2020, HR116-62, provided for continued funding at the FY 2019 enacted level.</t>
  </si>
  <si>
    <t>Leading with culture, A Cultural Approach to Good Health and Wellness in Indian Country (GHWIC) strategies combine (1) community-chosen cultural practices that are family centered to build resilience and connections to community, family, culture, and wellness; (2) policy, systems, and environmental changes (PSE) to build clinical-community linkages (CCLs) to support screening and assessing for chronic diseases and their risk factors (commercial tobacco use, diabetes and pre-diabetes, hypertension, obesity, and oral disease), and making referrals to clinical care, community-based organizations, and/or social service organizations for evidence-based and evidence-informed chronic disease prevention and management programs, including self-management and self-monitoring; and (3) PSEs and programs that promote wellness, prevent disease, and address nonmedical factors that influence health outcomes (built environment, food and nutrition, tobacco-free policy, and social connectedness), in a culturally appropriate manner.GHWIC has three (3) separate, competitive components with eligibility and scope of work requirements for each. Applicants must submit a separate application for each component for which they are applying.Component 1 (C1) applicants must propose at least one activity from each of three strategies. Applicants should describe their plans to implement evidence-informed and culturally appropriate activities to improve the health of their community members to prevent chronic diseases and their risk factors, (e.g., commercial tobacco use, diabetes and pre-diabetes, hypertension, obesity, and oral disease), establish CCLs, and address barriers to participation in clinical care and prevention and wellness activities. Recipients will include federally recognized Tribes, Alaska Native Villages, and Urban Indian Organizations (UIOs).Component 2 (C2) applicants must propose allocating at least 50% of their annual award in subawards to at least four (4) American Indian Tribes/Alaska Native Villages, UIOs, or other tribal entities within their IHS Area to implement all C1 strategies. With remaining award funds, C2 applicants must propose providing technical assistance, training, and resources for all Area Tribes/Villages/UIOs/other tribal entities in their IHS Area to support the planning, development, implementation, and evaluation of all C1 strategies. C2 applicants must also propose providing technical assistance, training, and resources to build partnerships and develop tailored communication messages. C2 applicants must describe how they will make subawards, including the rationale for their approach, so that all strategies and activities are addressed over the 5-year period of performance. This allows CDC resources and programs to reach additional local Tribes/Villages/UIOs/other tribal entities beyond those directly funded C1 recipients. Applicants will not need to identify the subawardees in the application but should describe how subawardees will be selected. Recipients will include tribal organizations that support all American Indian Tribes/Alaska Native Villages in their Area (12 IHS Administrative Areas), or Urban Indian Organizations (Urban Area defined for this NOFO) and have at least 4 Tribes/Villages or UIOs in their Area.Component 3 (C3) applicants must propose the establishment of a Tribal Coordinating Center (TCC) to develop a national communication plan, assist in the coordination, development, and implementation of a national evaluation plan with CDC evaluators, establishand support a Community of Practice (CoP) consisting of representatives from each GHWIC recipient, and facilitate regular CoP meetings to support shared learning and peer support to advance the goals of GHWIC. Recipients will include tribal organizations that support all American Indian Tribes/Alaska Native Villages in their Area (12 IHS Administrative Areas), or Urban Indian Organizations (Urban Area defined for this NOFO) and have at least 4 Tribes/Villages or UIOs in their Area.C3 applicants may also apply for C2 funding.GHWIC is the collaborative effort of six (6)divisions/office within CDC's National Center for Chronic Disease Prevention and Health Promotion:Division of Diabetes TranslationDivision for Heart Disease and Stroke PreventionDivision of Nutrition, Physical Activity, and ObesityDivision of Oral HealthDivision of Population HealthOffice on Smoking and Health</t>
  </si>
  <si>
    <t>Request for Information (RFI) related to Blue Sky Training Program for Grid Scale Energy Storage Systems</t>
  </si>
  <si>
    <t>DOE-NETL</t>
  </si>
  <si>
    <t>National Energy Technology Laboratory</t>
  </si>
  <si>
    <t>The goal of the Blue-Sky Training Program (BSTP) is to educate and train first responders, law enforcement agencies, local communities, utilities, authorities having jurisdictions (AHJs), and others on how to respond to unanticipated Energy Storage Systems (ESS) failures including those caused by cyber threats, physical threats, and other unanticipated operational failures.This is solely a request for information and is not a Funding Opportunity Announcement. The Department of Energy is not accepting applications to this Request for Information.</t>
  </si>
  <si>
    <t>Advancing HIV service delivery through pharmacies and pharmacists (R21 Clinical Trial Optional)</t>
  </si>
  <si>
    <t>Others (see text field entitled "Additional Information on Eligibility" for clarification)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</si>
  <si>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Notice of Funding Opportunity (NOFO) is to solicit research designed to capacitate, transform, and scale the delivery of HIV testing, prevention, and care services through pharmacists and pharmacies in US and/or global settings. This includes theadvancement of training curricula to enable pharmacy students, pharmacists, pharmacies, and pharmacy systems to deliver the spectrum of needed HIV services with ease, equity, and effectiveness.
This NOFO uses the R21 grant mechanism, while RFA-MH-25-185 uses the R01 mechanism. Projects that lack preliminary data or that propose to pilot a novel intervention may be most appropriate for the R21 mechanism. Applications with preliminary data and those proposing large-scale clinical trials or longitudinal analyses should consider using the R01 mechanism.</t>
  </si>
  <si>
    <t>OJJDP FY24 Children s Advocacy Centers National Subgrants Program</t>
  </si>
  <si>
    <t xml:space="preserve">Public and State controlled institutions of higher education </t>
  </si>
  <si>
    <t>With this solicitation, OJJDP seeks to provide support to CACs through a variety of subgrant assistance designed to enhance effective interventions in child abuse cases. CACs provide a coordinated response to child abuse victims through multidisciplinary teams composed of representatives from the agencies involved in the intervention, prevention, prosecution, and investigation systems that respond to child abuse.</t>
  </si>
  <si>
    <t>FY 2024 Foreign Labor Certification Grant Planning Guidance</t>
  </si>
  <si>
    <t>DOL-ETA</t>
  </si>
  <si>
    <t>Employment and Training Administration</t>
  </si>
  <si>
    <t>State governments State Workforce Agencies (SWA)States (including the District of Columbia and the Commonwealth of Puerto Rico); Commonwealth of the Northern Mariana Islands, Guam, and the Virgin Islands.</t>
  </si>
  <si>
    <t>To provide guidance for the funding and management of the FY 2024 annual grant allocations in order to perform FLC program activities.  Questions regarding this TEGL may be emailed to Ferrell.Chanta@dol.gov.</t>
  </si>
  <si>
    <t>Jordan Screening Development</t>
  </si>
  <si>
    <t>DOS-SCT</t>
  </si>
  <si>
    <t xml:space="preserve">Bureau of Counterterrorism </t>
  </si>
  <si>
    <t>Others (see text field entitled "Additional Information on Eligibility" for clarification) Law enforcement and border security personnel</t>
  </si>
  <si>
    <t>The Bureau of Counterterrorism (CT) of the U.S. Department of State announces an open competition for organizations to submit applications to build the Kingdom of Jordanâ€™s ability to screen for, identify, and counter the illicit transfer of weapons, explosives, and related materials efficiently and effectively.</t>
  </si>
  <si>
    <t>Annual Program Statement Ciudad Juarez Mexico Public Diplomacy</t>
  </si>
  <si>
    <t>DOS-MEX</t>
  </si>
  <si>
    <t>U.S. Mission to Mexico</t>
  </si>
  <si>
    <t>Others (see text field entitled "Additional Information on Eligibility" for clarification) The Public Affairs Section encourages applications from U.S. and Mexican:_x000D_
 	Individuals;_x000D_
 	Registered not-for-profit organizations, including thinktanks and civil society/non-governmental organizations with programming experience;_x000D_
 	Non-profit or governmental educational institutions; or_x000D_
 	Governmental institutions. U.S. organizations applying for funding must partner with a Mexican organization. _x000D_
 	For-profit or commercial entities are not eligible to apply._x000D_
Cost Sharing or Matching While cost sharing is preferred, it is not required._x000D_
Applicants are only allowed to submit one proposal per organization. If more than one proposal is submitted from an organization, all proposals from that institution will be considered ineligible for funding. _x000D_
To be eligible to receive an award, an organization must have a Unique Entity Identifier (UEI) number issued via www.SAM.gov as well as a valid registration on ww.SAM.gov.</t>
  </si>
  <si>
    <t xml:space="preserve">The Public Diplomacy Section (PDS) of the U.S. Consulate General in Ciudad Juarez, Mexico is pleased to announce that funding sponsored by the U.S. Department of State is available through its Public Diplomacy Grants Program. This is an Annual Program Statement, outlining our funding priorities, the strategic themes we focus on, and the procedures for submitting requests for funding. Please carefully follow all instructions below.The U.S. Consulate General in Ciudad Juarez PDS invites proposals for programs that strengthen cultural ties and mutual understanding between the U.S. and Mexico in the state of Chihuahua, Mexico through cultural, economic, educational, professional, and exchange programming that highlights shared values and promotes bilateral cooperation. All programs must include a U.S. cultural element, or connection with U.S. expert/s, organization/s, or institution/s in a specific field that will promote increased understanding of U.S. policies and perspectives. All proposals must state clearly the inclusion of American content. American content can include speakers who are experts in U.S. policy, academia, information, or economics; the use of U.S. training models or materials; exchanges with U.S. institutions; or promotion of U.S. best practices, culture and resources. Programs that include multiple cities and/or promote increased collaboration and networking between USG program alumni are encouraged. Priority Program Areas:Â· Economic Developmentâ€¢ Workforce Developmentâ€¢ Academic Exchanges   Education â€¢ Migrationâ€¢ Security   Human Rightsâ€¢ Climate Change ResiliencyÂ· Press / Freedom of ExpressionSee the full announcement attached to this Annual Program Statement for details. </t>
  </si>
  <si>
    <t>FY 2024 Bank Enterprise Award Program Application</t>
  </si>
  <si>
    <t>USDOT-CDFI</t>
  </si>
  <si>
    <t>Community Development Financial Institutions</t>
  </si>
  <si>
    <t>Others (see text field entitled "Additional Information on Eligibility" for clarification) Applicants must be FDIC-Insured Depository Institutions (banks and thrifts).</t>
  </si>
  <si>
    <t>Through the Bank Enterprise Award Program (BEA Program), the U.S. Department of the Treasuryâ€™s Community Development Financial Institutions Fund (CDFI Fund) supports FDIC-insured financial institutions around the country that are dedicated to financing and supporting community and economic development activities. The BEA Program complements the community development activities of insured depository institutions (i.e., banks and thrifts) by providing monetary awards for increasing investments in CDFIs and for increasing qualified lending, investment, and service activities within economically distressed communities. Providing BEA Program awards for increasing community development activities leverages the CDFI Fundâ€™s dollars and puts more capital to work in distressed communities throughout the nation.</t>
  </si>
  <si>
    <t>Center for Maternal and Child Health Medicaid Partnerships</t>
  </si>
  <si>
    <t>HHS-HRSA</t>
  </si>
  <si>
    <t>Health Resources and Services Administration</t>
  </si>
  <si>
    <t>Independent school districts These types of domestic organizations may apply:  Public or private  Community-based, or  Tribal (governments, organizations)</t>
  </si>
  <si>
    <t>This notice announces the opportunity to apply for funding under the Center for Maternal and Child Health Medicaid Partnerships program.
 The purpose of the Center for Maternal and Child Health Medicaid Partnerships is to strengthen collaboration between state Medicaid, Childrenâ€™s Health Insurance Program (CHIP), and Title V Maternal and Child Health Services Block Grant (Title V) programs and advance innovative financing strategies that improve outcomes and reduce health disparities for maternal and child health (MCH) populations. The award recipient will build knowledge and shared priorities between state Medicaid, CHIP, and Title V programs and provide one-to-one, state-specific tailored capacity-building assistance directly to state Medicaid, CHIP, and Title V programs to support MCH. Support will include: (1) engaging state Title V, Medicaid, and CHIP programs to identify shared priorities and foster a common understanding of needs, opportunities, and best practices; (2) one-to-one, state-specific, tailored assistance to advance MCH financing; (3) support the development of innovative collaborative models leveraging HRSA, CHIP, and Medicaid funding, and (4) one-to-one capacity-building assistance to advance interagency agreements required by statute.</t>
  </si>
  <si>
    <t>Training for Improved Protection of Drinking Water Sources</t>
  </si>
  <si>
    <t>EPA</t>
  </si>
  <si>
    <t>Environmental Protection Agency</t>
  </si>
  <si>
    <t>Others (see text field entitled "Additional Information on Eligibility" for clarification) See Section III of the Notice of Funding Opportunity for eligibility information.</t>
  </si>
  <si>
    <t>The EPA, together with states, Tribes, and its many partners, protects public health by protecting current and future drinking water sources and ensuring the availability of high-quality drinking water. Two programs within the EPA that protect drinking water sources are the Underground Injection Control (UIC) and Source Water Protection (SWP) programs. The EPA is soliciting applications from eligible applicants to provide training to develop and expand the capability of state and Tribal UIC and SWP programs. Applicants should describe their proposed approach to providing training that will achieve these objectives. Applicants are encouraged to identify additional project elements in their applications that may not be included in this funding opportunity that may contribute to overall project success.</t>
  </si>
  <si>
    <t>Bajenu Gox Capacity Building to Counter Violent Extremism in Local, Border Communities of Senegal</t>
  </si>
  <si>
    <t>DOS-SEN</t>
  </si>
  <si>
    <t>U.S. Mission to Senegal</t>
  </si>
  <si>
    <t>Others (see text field entitled "Additional Information on Eligibility" for clarification) The following organizations are eligible to apply:   	Not-for-profit organizations, including think tanks and civil society/non-governmental organizations  	Public and private educational institutions 	Public International Organizations</t>
  </si>
  <si>
    <t>The U.S. Embassy in Dakar, Senegal, announces an open competition for organizations to submit applications under the 2024 Trans-Sahara Counterterrorism Partnership (TSCTP)/CVE Women Leading Peace in West Africa. Proposals funded under this announcement should seek to carry out a program to build the capacity of Bajenu Gox members (neighborhood godmothers-English translation) to counter violent extremism (CVE) in local communities along the eastern border regions of Senegal. 
Note: The U.S. Embassy expects to receive funding for the TSCTP/CVE-WLP program before September 30, 2024. Grant awards are contingent on the receipt of funding. If the program is not approved, no grants will be awarded under this call.</t>
  </si>
  <si>
    <t>DoD Autism, Discovery Award</t>
  </si>
  <si>
    <t>DOD-AMRAA</t>
  </si>
  <si>
    <t>Dept. of the Army -- USAMRAA</t>
  </si>
  <si>
    <t>The FY24 ARP Discovery Award supports innovative, non-incremental, high-risk/potentially high-reward research that will provide new insights, paradigms, technologies, or applications in autism research. Studies supported by this award are expected to lay the groundwork for future avenues of scientific investigation regarding an important question for autism research and/or the ASD community. The proposed research project should include a well-formulated, testable hypothesis based on a sound scientific rationale and logical reasoning. Preliminary data are not required but is allowed. The outcome of research supported by this award should be the generation of robust preliminary data that can be used as a foundation for future research projects and applications for funding.The FY24 ARP Discovery Award seeks applications from all areas of research that will help fulfill the programâ€™s vision to improve the lives of individuals with ASD now and in their future, as well its mission is to promote innovative research that advances the understanding of ASD and leads to improved outcomes.</t>
  </si>
  <si>
    <t>Supporting Increased Tolerance and Integration of Minority Groups    in Slovakia</t>
  </si>
  <si>
    <t>DOS-SVK</t>
  </si>
  <si>
    <t xml:space="preserve">U.S. Mission to Slovakia </t>
  </si>
  <si>
    <t>Others (see text field entitled "Additional Information on Eligibility" for clarification) Not-for-profit organizations based in the Slovak Republic, including civil society/non-governmental organizations, think tanks, and educational institutions, are eligible to apply.</t>
  </si>
  <si>
    <t>U.S. Embassy Bratislava of the U.S. Department of State announces an open competition for organizations to submit applications to carry out a program bolstering civil society endeavors to enhance tolerance and integration of the most vulnerable minority groups in Slovakia. Please follow all instructions below.
Program Objectives: 
Through this Notice of Funding Opportunity (NOFO), we are soliciting proposals focused on advancing tolerance and integration of vulnerable minority groups in Slovakia that address one or more of the following priority areas:
1) protection of the human rights and wellbeing of LGBTQI+ people and/or raising awareness on LGBTQI+ issues; 
2) support for Roma inclusion in social, economic, and political life; 
3) advancing the rights and integration of ethnic and religious minorities; and 
4) countering extremism, hate, and intolerance against minority groups in Slovakia. 
Proposals in the above areas may include, but are not limited to: capacity-building for civil society organizations; advocacy for vulnerable minority groups; providing and expanding support, services, trainings, and overall empowerment to members of the vulnerable minority groups; creating welcoming and supportive communities; advancing public awareness and tolerance toward members of the vulnerable minority groups; and building greater public and political support for minority rights in Slovakia. 
Applicants are encouraged to give particular consideration to activities with a regional dimension and a multiplier effect. Successful proposals may include strong participation and involvement of minority group members. 
Applicants should outline realistic, measurable project goals, justify their approach, and specify project performance indicators. Applicants are encouraged to develop sustainable, impactful projects linked to their organizationsâ€™ long-term goals and agenda, with a strong public communication component. Project proposals must include potential implementation risks and outline strategies for their mitigation. Eligible projects and applicants should be apolitical, not affiliated with or endorsing any political party or actor.</t>
  </si>
  <si>
    <t>Rural Northern Border Region Outreach Program</t>
  </si>
  <si>
    <t>State governments You can apply if your organization is in the United States and is:  Public or private, non-profit or for-profit  Community-based  Tribal (governments, organizations) 2. You can apply if your organization meets the following geographic requirements:  You are an organization physically located within Maine, New Hampshire, New York, or Vermont (NBRC member states) Appendix B.  You are an organization with demonstrated experience serving, or the capacity to serve, rural underserved populations located in the NBRC Region (see Appendix B). 3. You can apply if your organization meets the following consortium requirements:  You are an organization representing a consortium composed of three or more health care provider organizations, including the applicant organization, with at least 66 percent (two-thirds) of consortium members located in a HRSA-designated rural area, as defined by the Rural Health Grants Eligibility Analyzer. Applicants will be deemed non-responsive and will not be considered for this funding opportunity if the applicant:  is located outside of Maine, New Hampshire, New York, or Vermont;  submits an application to serve populations outside of HRSA designated rural counties or rural census tracts in the NBRC Region (see Appendix B); and  submits more than one application. To confirm rural service areas, please refer to https://data.hrsa.gov/tools/rural-health. This webpage allows you to search by county or street address and determine rural eligibility.</t>
  </si>
  <si>
    <t>This notice announces the opportunity to apply for funding under the Rural Northern Border Region Outreach Program (RNBR-OP). The purpose of this program is to promote the delivery of health care services to rural underserved populations in the rural Northern Border Regional Commission (NBRC) Region of Maine, New Hampshire, New York, and Vermont. Through a consortia of local health care and social service providers, communities can develop innovative approaches to challenges related to specific health needs that expand clinical and service capacity. The overarching goals for the RNBR Outreach Program are to: â€¢ Expand the delivery of health care services to include new and enhanced services exclusively in the Northern Border rural communities; â€¢ Deliver health care services through a strong consortium, in which every consortium member organization is actively involved and engaged in the planning and delivery of services; â€¢ Utilize community engagement and evidence-based or innovative, evidence informed model(s) in the delivery of health care services; and â€¢ Improve population health and demonstrate health outcomes; and â€¢ Increase financial sustainability. This Program allows the applicant the flexibility to determine your unique community needs and focus area(s), based on historical health care context, expertise, and relevant data sources in the community. As such, applicants are expected to propose projects that: â€¢ Clearly identify a health care focus area(s) that your grant activities will address. â€¢ Describe how rural communities participated in the identification of the grant project focus area indicated. â€¢ Emphasize how the project will benefit the rural community or communities. â€¢ How your proposed grant activities and identified focus area(s) will improve health equity. Examples of health care focus areas include (but are not limited to): mental/behavioral health, healthcare workforce development; community health workers, addressing health disparities, rural hospital financial and operational improvement; impacts of rural hospital closure; care coordination; patient engagement, data analytics/health information technology; and telehealth.</t>
  </si>
  <si>
    <t>Natural Resource Support for IMCOM at multiple Installations</t>
  </si>
  <si>
    <t>DOD-COE-FW</t>
  </si>
  <si>
    <t>Fort Worth District</t>
  </si>
  <si>
    <t>Others (see text field entitled "Additional Information on Eligibility" for clarification) This funding opportunity is ONLY available for Cooperative Ecosystem Study Units under the Colorado Plateau / Great Plains CESU Regions. In accordance with the 16 USC 670c-1, Sikes Act, projects for the implementation and enforcement of integrated natural resources management plans, priority shall be given to Federal and State agencies having responsibility for the conservation or management of fish or wildlife.</t>
  </si>
  <si>
    <t>Note: A full study proposal and proposed budget are NOT requested at this time. We are only requesting that you demonstrate available qualifications and capability for performing similar or same type of work by submitting a State of Interest.PROJECT TITLE: Natural Resource Support for IMCOM at multiple Installations, Provide Land Rehabilitation and Maintenance (LRAM), Range and Training Land Assessment Support (RTLA), Geographical Information System (GIS), Support for Headquarters Installation Management Command (IMCOM), Sustainable Range Program Article III, (D) of the Colorado Plateau Cooperative Ecosystems Studies Unit (CESU)A cooperative agreement is being offered ONLY to members of the Cooperative Ecosystem Studies Units (CESU) Program Region(s) identified above. Award will be made upon mutual agreement and acceptance of the terms and conditions contained in the request for proposal and the of the recipient's CESU Master Agreement.PURPOSE: Provide natural resource environmental expertise on various Army Installations to provide LRAM, RTLA, and GIS project implementation accomplished by an onsite recipient during installation identified business hours. In coordination with, and as identified by the Installation Government Representative (IGR), the NFE onsite representatives verify the installations' project designs, provide personnel required to execute installation LRAM, RTLA, and GIS activities, schedule/coordinate project execution, document/update execution progress, and assist the Government in identifying future LRAM, RTLA, and GIS projects. This task provides support to Fort Walker ( AP Hill), Fort Moore (Benning), Fort Campbell, Joint Base Langley Eustis (JBLE-Eustis), Fort Eisenhower (Gordon), Fort Cavazos (Hood), Fort Huachuca, Fort Jackson, Fort Gregg-Adams (Lee), Fort Leonard Wood, Fort Novosel (Rucker), Fort Sill, and USMA (West Point), Joint Base San Antonio (JBSA â€“ Camp Bullis), Fort Bliss, and Fort Knox.Note: The established CESU Program indirect rate is 17.5%.Responses to this Request for Statements of Interest: will be used to identify potential organizations for this project. Approximately $14,502,485 is expected to be available to support this project for the base period. Up to 4 additional Follow-on options per installation based on availability of funding. The Government intends to award the option periods/tasks identified in the table based on government need and funding availability.Note: This project will be awarded under the authority of 10 USC 670c-1, Sikes Act: For projects for the implementation and enforcement of integrated natural resources management plans, priority shall be given to award to Federal and State agencies having responsibility for the conservation or management of fish or wildlife.Period of Performance: The base period of agreement will extend 12 months from date of award with other optional installations to be funded after base award. There may be up to four 12-month follow-on periods per installation based on availability of funding.Description of Anticipated Work: See attached Statement of ObjectivesSubmission of Your Statement of Interest:1. Statements of Interest are due by 5 P.M., Central Time, on 25 May 2024.2. Submit your Statement of Interest via e-mail attachments or direct questions to:Sandra Justman Grants SpecialistUSAGE, Fort Worth DistrictEmail: sandra.justman@usace.anny.milOffice: 817-886-1073Kali Evans Project ManagerUSAGE, Fort Worth DistrictEmail: kali.l.evans@usace.army.milOffice: 402-736-1048Review of Statements Received: All statements of interest received from a member of the CESU Region(s) identified above will be evaluated by a board comprised of one or more people at the receiving installation or activity, who will determine which statement(s) best meet the program objectives: offer the most highly qualified Principal Investigator, have the most relevant experience and the highest capability to successfully meet the program objectives. Submitters whose statements are determined to best meet the program objectives will be d to submit a full proposal.</t>
  </si>
  <si>
    <t>English Access Scholarship Program</t>
  </si>
  <si>
    <t>DOS-TJK</t>
  </si>
  <si>
    <t>U.S. Mission to Tajikistan</t>
  </si>
  <si>
    <t>Others (see text field entitled "Additional Information on Eligibility" for clarification)  	Non-governmental organizations        Public Organizations        Private institutions of higher education</t>
  </si>
  <si>
    <t>A. PROGRAM DESCRIPTION  
Executive Summary:  
The U.S. Embassy Public Diplomacy Section in Dushanbe, Tajikistan is soliciting proposals for a cooperative agreement to administer the English Access Scholarship program, that meets the specifications stated below. The implementer must be a legally recognized non-governmental organization, that meets U.S. and Tajikistan technical and legal requirements to develop and implement Public Diplomacy Programs as specified in Section C. 
Background:  
Launched in 2004, the English Access Scholarship Program (hereafter known as â€œAccess Programâ€ or â€œAccessâ€) is a two-year global scholarship program supported by the U.S. Department of State and managed by the U.S. Embassy of Tajikistan that provides a foundation of English language skills to bright, underserved students, primarily aged 14 to 15. This two-year, 360-hour program exposes participants to U.S. culture, global citizenship, and democratic values through English language scholarships, professional development opportunities for teachers and administrators, and programming for alumni. Consisting of both in-class and off-site activities, the program curricula must integrate the four pillars of the Access Program: global citizenship themes, U.S. culture and values, 21st-century skills, and English language instruction. 
Project description:  
The goal of the Access Program is to equip talented students who possess a minimal knowledge of English with effective communication and critical thinking skills through meaningful interaction, cooperative learning strategies, and real-life contexts. Additionally, Access seeks to prepare students for conversational English language skills with native and non-native speakers of English through a variety of experiential learning activities. Selected participants must be bright, economically disadvantaged students with a beginning level of English. Participants should commit to enroll in classes during the full two-year program.  
Students are expected to graduate with certificates of completion from the U.S. Embassy in Tajikistan at the end of their two-year program. The Program is divided into two distinct phases: (1) 360 hours of after school classroom instruction, consisting of a minimum 6 hours per week and maximum 2 hours per day as well as (2) off-site activities that are cohesive and clearly linked to the curriculum described below. 
The program curriculum must focus on the Media Literacy and Civic Engagement themes. These themes remain relevant in both urban and rural areas of Tajikistan and the youth will learn to analyze, evaluate, and expand their access to alternative sources of information through the in-class and off-site activities on Media Literacy. It also aims to engage youth in more active civic lifestyles based on critical thinking skills, sharing and production skills, informed decision-making, and active participation. 
Media literacy improves citizens' understanding of fundamental rights such as communication, as well as the balance between these rights and ethical obligations at the personal and collaborative levels. By tying these values to the concept of global citizenship, media literacy education encourages youth to respect and support the rights of others.  
Program Design 
When designing an Access program, providers should take into consideration the time needed to recruit and train teachers and to select students for the program prior to beginning instruction. In addition, the purchase of textbooks and supplies will be an important part of program planning. The U.S. Embassy recommends using four levels (Starter, Elementary, Pre-Intermediate and Intermediate) of American Headway Textbooks.  
Access Teacher Community of Practice (CoP) 
It is highly recommended that providers plan for and budget to pay teachers to attend at least two hours per month of teacher professional development through the free Access Teacher Community of Practice (CoP). The Access Teacher CoP is an online resource for teachers to receive professional development focused on model lesson plans as well as webinars with guest speakers on American culture. 
Professional Development 
Before Access instruction begins, providers should provide and budget for training for teachers on all four pillars of the Access Program. For example, training on global citizenship themes and U.S. culture and values can be facilitated through webinars on the Access Teacher CoP, while training on TESOL methodology and 21st-century skills may be incorporated through Online Professional English Network (OPEN) courses or in-person trainings organized by the U.S. Embassy's Regional English Language Office. It is recommended that teachers engage in professional development on the CoP throughout the two-year program. 
By the end of this program, Access students will learn skills that help them gain them access to better jobs, educational opportunities, and the ability to participate in and compete for future exchanges and study in the United States, such as through FLEX, TechGirls, UGRAD, Fulbright, etc. 
The Successful Provider will be Responsible for the Following Tasks: 
Â· Collaborate with the U.S. Embassy to integrate program goals in curriculum and program design. 
Â· Partner with the U.S. Embassy to select high-quality teachers and appropriate students for the program. 
Â· Support professional development needs for Access teachers. 
Â· Deliver instruction and programmatic activities. 
Â· Regularly monitor and evaluate program implementation to ensure high-quality programming. 
Â· Inform U.S. Embassy about significant program developments, challenges, and highlights. 
Â· Send invitations to the relevant U.S. Embassy staff alerting them to special events, as well as opportunities to visit and speak. 
Â· Submit success stories of Access Program students to relevant U.S. Embassy staff, in a timely manner, for use on social media. 
Â· Maintain program and financial documentation to comply with auditing and U.S. Government regulation. 
Project Audience(s):  Youth (9th grade students, typically ages 14-15) with beginner-level English speaking skills from low-income communities most affected by labor migration and vulnerable to extremist ideas (rural areas of Khatlon such as the villages surrounding the cities of Kulob, Danghara, Qubodiyon, and Shahrituz as well as districts of the Dushanbe Republican Subordination including Tursunzoda, Rudaki, Obigarm and others which are predominantly in Tajikistanâ€™s remote areas).  
By targeting 9th grade students (typically ages 14-15) from undeserved/migrant families, with some interest in volunteerism/community/ sustainability and environment/technology/womenâ€™s empowerment. The program will help these Tajik youth consider and build the skills needed for future careers which are needed to develop Tajikistanâ€™s domestic economy.  
Project Goal: To support socio-economic empowerment of Tajik youth by improving English language proficiency of 9th grade students from underserved communities through participation in a two-year English language training program focused on media literacy and civic engagement. 
Project Objectives:   
Â· Objective 1: Increase English language reading, writing, listening and speaking skills on themes of media literacy and civic engagement up to 50 program participants through in-class instruction and off-site civic engagement/volunteer activities. 
Â· Objective 2:  Strengthen studentsâ€™ understanding of global citizenship, U.S. culture, values through experiential learning activities, leadership and civic engagement skills. For example: through volunteerism, community service activities, and engaging in issues that impact their local community. 
Â· Objective 3: Improve the ability of students to critically analyze media content, identify disinformation and credible sources through media literacy training and simulated disinformation exercises. 
All proposals should: 
Â· Proposals should include both Cost Proposal and Technical Proposal. [Attachments 1 and 2];   
Â· Address how the project will contribute to achievement of objectives listed above; 
Â· Enumerate specific outputs and outcomes to be achieved by the end of the project, using the Monitoring   Evaluation Performance Monitoring Plan (PMP) [Attachment 3]; 
Â· Describe pedagogical approach that will be used to teach Access students; 
Â· Describe in detail the process for selecting and recruiting students; 
Â· Describe how students of different English language levels will be organized in the program; 
Â· Describe how students will be motivated and encouraged to attend all Access sessions; 
Â· Describe how parents/community will be informed and involved in the Access program; 
Â· Demonstrate competency to manage all financial and oversight aspects of the project, including participant costs; 
Â· Cost Proposal should have a detailed breakdown of costs for the two-year project including purchasing of books/materials, studentsâ€™ transportation and snacks, project administration, admin costs, etc. On average, costs associated with one student in the framework of the two-year project are approximately $1,000. Each project can include up to 50 students. Projects that involve higher numbers of students with lower costs are encouraged. 
Â· English Access Scholarship Program Handbook [Attachment 5];  
B. FEDERAL AWARD INFORMATION 
Length of performance period: 2-year program 
Number of awards anticipated: 1 award per grantee for two or more sites.  
Award amounts: awards may range from a minimum of $24, 000 to a maximum of $50, 000. 
Total available funding: approximately $1,000 per student 
Award Ceiling: $50,000 
Award Floor: $24,000 
Type of Funding: FY23/24 Assistance for Europe, Eurasia, and Central Asia under the Foreign Assistance Act)  
Anticipated start date: November 30, 2024 
The Public Diplomacy Section of Embassy Dushanbe reserves the right to award less or more than the amount of funds described in the absence of worthy applications or under such other circumstances as they may deem to be in the best interest of the U.S. government, pending the availability of funds and approval of the designated Grants Officer. 
This notice is subject to availability of funding. 
Funding Instrument Type: Cooperative agreement.  
The Embassy will be substantially involved in carrying out the following aspects of this cooperative agreement: 
- Serves as the primary point of contact for providers throughout the program. 
- Approves proposals, program reports, and expenses. 
- Reviews and approves Access program announcements. 
- Helps the provider in the selection process of students, program coordinators and 
teachers. 
- Helps the provider in the recruitment of participants. 
- Assists during the development of the curriculum of English language, leadership and professional skills, and exposure to U.S. culture and democratic values and Intensive sessions. 
- Participates in the Opening and Closing ceremonies of the program. 
- Visits program sites. 
-Oversees program implementation and financial compliance. 
- Provides general support such as connecting with Fulbright English Teaching 
Assistants and English Language Fellows; access to American Spaces; facilitating connections with FLEX alumni, USANT regional representatives and representatives from the United World Colleges. 
- Promotes the success stories of the project results. 
The Embassy will be involved in the areas mentioned above or others as needs may come up.  
Program Performance Period: Proposed programs should be completed in 2-years or less.  
  Please refer to the related documents' section for the mandatory award attachments and complete English Access Scholarship Program NOFO.</t>
  </si>
  <si>
    <t>National Center for Community-Based Child Abuse Prevention</t>
  </si>
  <si>
    <t>HHS-ACF-CB</t>
  </si>
  <si>
    <t>Administration for Children and Families - ACYF/CB</t>
  </si>
  <si>
    <t>Others (see text field entitled "Additional Information on Eligibility" for clarification) Collaborative efforts and interdisciplinary approaches are acceptable.  Applications from collaborations must identify a primary applicant responsible for administering the cooperative agreement.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</si>
  <si>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purpose of this notice of funding opportunity (NOFO) is to establish by cooperative agreement a National Center for Community-Based Child Abuse Prevention (Center). The Center will be the Childrenâ€™s Bureauâ€™s primary provider of training and technical assistance to build the capacity of Community-Based Child Abuse Prevention (CBCAP) recipients, (to include states, tribes, tribal organizations, and migrant programs) and their partners to implement successful strategies that strengthen families and prevent child maltreatment. The key focus of the Center will be to enhance the ability of CBCAP recipients to effectively implement the requirements of the program and support evidence-informed and evidence-based child maltreatment prevention programs and activities. The Center will facilitate CBCAP recipientsâ€™ work to plan for and develop a network of interdisciplinary community-based programs and activities that offer a continuum of services and resources that strengthen and support families to prevent child abuse and neglect. The Center will also promote CBCAP recipient efforts to engage individuals with lived expertise in critical decisions related to planning, implementing, and evaluating their CBCAP programs, and foster enhanced linkages between CBCAP recipients and child welfare, as well as other child and family systems to ensure families can access community supports tailored to address their unique needs.  The project will have a 60-month project period with five 12-month budget periods.</t>
  </si>
  <si>
    <t>Maternal and Child Health Policy Innovation Program</t>
  </si>
  <si>
    <t>County governments You can apply if your organization is in the United States and is:  Public or private,  Community-based, or  Tribal (governments, organizations)</t>
  </si>
  <si>
    <t>The purpose of the Maternal and Child Health Policy Innovation Program (MCH PIP) is to support innovative city, county, or state-level policy initiatives that improve outcomes and reduce associated health disparities for maternal and child health populations. Successful award recipients will provide technical assistance (TA) to stakeholders4, including governorsâ€™ offices, state legislatures, state and local health officials, and other state and local officials5 to help them develop and implement policy initiatives that improve outcomes and reduce related health disparities. Technical assistance will include (1) convening learning communities (LCs) that engage stakeholders (listed above) in addition to community members and people with lived experience and (2) developing and disseminating informational resources such as (but not limited to) policy briefs, webinars, and/or legislation trackers. Technical assistance for policy initiatives that address social determinants of health6 (SDOH), such as improving access to quality affordable housing, healthy foods, or transportation, is especially encouraged. Award recipients will also support TA for cities, counties, and/or states on Maternal and Child Health Bureau (MCHB) priority topics such as maternal and infant mortality and readiness for obstetric emergencies, and emerging MCH issues (recent examples of which include congenital syphilis, environmental health threats, Medicaid redetermination, and vaccine promotion).</t>
  </si>
  <si>
    <t>United with Ukraine Game Jam</t>
  </si>
  <si>
    <t>DOS-PA</t>
  </si>
  <si>
    <t>Bureau of Global Public Affairs</t>
  </si>
  <si>
    <t>Others (see text field entitled "Additional Information on Eligibility" for clarification) The GEC may make awards through this solicitation to U.S. and foreign non-profit organizations, institutions of higher education, and commercial entities. Individuals, state and local governments, foreign public entities, and public international organizations are not eligible to apply. Before submitting, potential applicants should ensure that they are eligible to receive a grant or cooperative agreement and prepared to adhere to the terms of 2 CFR 200 and 2 CFR 600.</t>
  </si>
  <si>
    <t>Drawing on the science of prebunking and the popularity and penetration of video games, the implementer will organize a game jam. Games developed during the United with Ukraine Game Jam will increase player skepticism of foreign propaganda and disinformation.</t>
  </si>
  <si>
    <t>WASTE: Waste Analysis and Strategies for Transportation End-uses</t>
  </si>
  <si>
    <t>DOE-GFO</t>
  </si>
  <si>
    <t>Golden Field Office</t>
  </si>
  <si>
    <t>County governments Transit Authorities, defined as a  transit authority  is (1) either a government agency or a municipally, regionally or tribally contracted for- or non-profit company; (2) that provides or operates public transportation services on behalf of one or more municipalities or regional or tribal governments.</t>
  </si>
  <si>
    <t>The research and development (R&amp;D) activities to be funded under this FOA will support the government-wide approach to the climate crisis by driving the innovation that can lead to the deployment of clean energy technologies, which are critical for climate protection. Specifically, this FOA will aid communities with resource and energy recovery strategies associated with their organic waste streams. Organic waste streams represent major sources of fugitive methane emissions, volatile organic compounds, and other pollutants.  The White House set a goal of reducing methane emissions by 30% by 2030. By developing strategies that can prevent the landfilling of these wastes, one of the major sources of fugitive methane can be mitigated. Holistic waste management strategies can also benefit communities by reducing other impacts associated with waste collection and processing infrastructure including reducing truck traffic, odors, litter, and other air, water, and health impacts. _x000D_
_x000D_
Topic Area 1 is focused specifically on helping communities beyond a conceptualization phase by supporting more in-depth feasibility or scoping analysis. Oftentimes, staff and organizational capacity in communities (particularly in rural, remote, Tribal, or smaller communities) is limited. While technical assistance programs can accomplish some of these objectives, direct financial assistance can close this capacity gap. _x000D_
_x000D_
Topic Area 2 is targeted towards communities that have previously completed feasibility analysis and are seeking funding to further refine their project concept. Municipal and non-profit staff capacity and availability of funding often makes detailed design work out of reach for many communities and this topic aims to close that gap. Projects selected under Topic Area 2 will have an opportunity to construct and operate their designed pilot facility based on the down-select process described in the FOA._x000D_
_x000D_
The eXCHANGE system is currently designed to enforce hard deadlines for Concept Paper and Full Application submissions. The APPLY and SUBMIT buttons automatically disable at the defined submission deadlines. The intention of this design is to consistently enforce a standard deadline for all applicants._x000D_
_x000D_
Applicants that experience issues with submissions PRIOR to the FOA Deadline: In the event that an Applicant experiences technical difficulties with a submission, the Applicant should contact the eXCHANGE helpdesk for assistance (exchangehelp@hq.doe.gov). The eXCHANGE helpdesk and/or the EERE eXCHANGE System Administrators (eXCHANGE@ee.doe.gov) will assist the Applicant in resolving all issues._x000D_
_x000D_
Applicants that experience issues with submissions that result in a late submission: In the event that an Applicant experiences technical difficulties with a submission that results in a late submission, the Applicant should contact the eXCHANGE helpdesk for assistance (exchangehelp@hq.doe.gov). The eXCHANGE helpdesk and/or the EERE eXCHANGE System Administrators (eXCHANGE@ee.doe.gov) will assist the Applicant in resolving all issues (including finalizing the submission on behalf of, and with the Applicant's concurrence). DOE will only accept late applications when the Applicant has a) encountered technical difficulties beyond their control; b) has contacted the eXCHANGE helpdesk for assistance; and c) has submitted the application through eXCHANGE within 24 hours of the FOA's posted deadline._x000D_
_x000D_
Please see the full FOA at EERE-Exchange.energy.gov._x000D_
_x000D_
The required Concept Paper due date for this FOA is 06/19/2024 at 5PM ET. The Full Application due date for this FOA is 8/14/2024 at 5PM ET._x000D_
_x000D_
Interested parties are directed to visit the Energy Efficiency and Renewable Energyâ€™s eXCHANGE system at https://eere-Exchange.energy.gov for the full Funding Opportunity Announcement DE-FOA-0003072._x000D_
_x000D_
Questions regarding the FOA must be submitted to FY24WASTEFOA@ee.doe.gov.</t>
  </si>
  <si>
    <t>ARDF-Africa Regional Democracy Fund, POL/ECON, U.S. Embassy Yaounde</t>
  </si>
  <si>
    <t>DOS-CMR</t>
  </si>
  <si>
    <t>U.S. Mission to Cameroon</t>
  </si>
  <si>
    <t>Others (see text field entitled "Additional Information on Eligibility" for clarification) The Africa Regional Democracy Fund program is limited to Cameroonian local registered community-based organizations, associations, non-governmental organizations (NGOs) with at least 2 years of experience working in the areas of Democracy, Governance and Human Rights. Organizations and entities with a prior history of poor performance of U.S. government grants are ineligible for this funding.</t>
  </si>
  <si>
    <t>The Political and Economic Section of the U.S. Embassy in YaoundÃ©, Cameroon announces an open competition for organizations to submit applications under the FY2023 Africa Regional Democracy Fund program. Proposals should address projects that will either: (i) advance human rights and fundamental freedoms by supporting local organizations efforts to promote human rights systems, policies, and protection, or (ii) provide assistance that enables citizens to select and replace their leaders through periodic, inclusive, accountable, and free and fair elections. Note: The U.S. Embassy expects to receive funding for the ARDF program before September 30, 2024. Grant awards are contingent on the receipt of funding. If the program is not approved, no grants will be awarded under this call.</t>
  </si>
  <si>
    <t>OJJDP FY24 Enhancing School Capacity To Address Youth Violence</t>
  </si>
  <si>
    <t>Nonprofits that do not have a 501(c)(3) status with the IRS, other than institutions of higher education units of local government (such as towns, boroughs, parishes, villages, or other general purpose political subdivisions of a state)</t>
  </si>
  <si>
    <t>With this solicitation, OJJDP seeks to support targeted efforts to address youth violence in a school-based setting (Kâ€“12th grade only). OJJDP seeks to increase school safety through the development and expansion of evidence-based and promising violence prevention and reduction programs and strategies to support school climate. Through this initiative, OJJDP expects applicants to utilize a collaborative approach between schools and community-based organizations (CBOs) to develop and implement these strategies.</t>
  </si>
  <si>
    <t>PEPFAR Small Grants Virtual Spaces Intervention and Community-led Monitoring for Priority Populations in Nigeria</t>
  </si>
  <si>
    <t>Others (see text field entitled "Additional Information on Eligibility" for clarification) 1.	Not-for-profit organizations, including think tanks and civil society/non-governmental organizations. 2.	Public and private educational institutions. 3.	Youth and Key Population-led organizations that are not-for-profit organizations,</t>
  </si>
  <si>
    <t>U.S. Embassy Nigeria through the U.S. Presidentâ€™s Emergency Plan for AIDS Relief (PEPFAR) Coordination Office of the Bureau of Global Health Security and Diplomacy at the U.S. Department of State announces an open competitive opportunity for organizations to apply for funding to implement community-led monitoring or a virtual spaces intervention among priority populations for HIV prevention and treatment, including Key Populations (KP) and Adolescent and Young People (AYP).
For HIV to no longer be a public health threat by 2030 in Nigeria, the populations at highest risk must know their HIV status, receive lifesaving HIV prevention and treatment, and reach viral suppression if they are HIV-positive. Data show that HIV prevention and treatment efforts should be focused on AYP and KPs. Key Populations include men who have sex with men, transgender individuals, sex workers, people who inject drugs (PWID), and people in prisons and other closed settings.
Under this opportunity, the PEPFAR Coordination Office seeks to address pillar 1 of the 5x3 strategy, health equity for priority populations. Youth make up a significant proportion of the more than 32.9 million Nigerians reported to be active users of social media. AYP-led CSOs in the country have identified a gap with the lack of structured sexual health and HIV messaging and interventions on these platforms. 
Virtual online space is a digital environment that enables people to, socialize, interact, and gather information using available technologies and non-necessarily requiring a physical space to operate. Interventions on a virtual space may include, but not be limited to phone services such as calls and messaging, mobile applications, websites, and social media channels. Through Virtual Spaces Interventions, PEPFAR Nigeria intends to address the gaps in the use of online platforms and spaces by meeting KP and AYP where they are; providing them with HIV and other relevant health information; facilitating referrals and linkages to health facilities for person-centered HIV prevention, treatment, and other health care services. Prioritizing these spaces as a compliment of existing health systems in the on-going efforts to increase program reach among AYP and KPs, and to use this space to facilitate health promotion, HIV testing and case-finding, and drive access to other health services in a confidential manner.
This program seeks to increase access to quality, concise and accurate HIV and health related messaging, facilitate active referrals and linkages to spaces and locations which can provided access to strategic HIV and other health services for prevention, treatment and care interventions targeted at AYP and KPs by leveraging on virtual spaces utilized by adolescents and young persons. The program will support community-led monitoring efforts among AYP and KP-led groups using platforms such as â€œiMonitor +â€ to ensure that HIV positive individuals among these priority populations are receiving high quality care and treatment services, identify any challenges, barriers, and/or gaps to care, and to report findings to PEPFAR to inform service delivery.</t>
  </si>
  <si>
    <t>Trans-Sahara Counterterrorism Partnership/CVE Program-Women Leading Peace, POL/ECON, U.S. Embassy Yaounde</t>
  </si>
  <si>
    <t>Others (see text field entitled "Additional Information on Eligibility" for clarification) The Trans-Sahara Counterterrorism Partnership/CVE Program for Women Leading Peace fund is limited to Cameroonian local registered community-based organizations, associations, non-governmental organizations (NGOs) with at least 2 years of experience working in the areas of Human Rights and Countering Violent Extremism (CVE). Organizations and entities with a prior history of poor performance of U.S. government grants are ineligible for this funding.</t>
  </si>
  <si>
    <t>The Political and Economic Section of the U.S. Embassy in YaoundÃ©, Cameroon announces an open competition for organizations to submit applications under the 2024 Trans-Sahara Counterterrorism Partnership (TSCTP)/CVE Program for Women Leading Peace in West Africa. Proposals funded under this announcement should seek to increase the representation of women in peace and security decision-making positions and reduce the radicalization and recruitment of youths in non-state armed groups in the Northwest and Southwest regions of Cameroon by March 2026.
Note: The U.S. Embassy expects to receive funding for the TSCTP/CVE-WLP program before September 30, 2024. Grant awards are contingent on the receipt of funding. If the program is not approved, no grants will be awarded under this call.</t>
  </si>
  <si>
    <t>OVC FY24 Byrne Discretionary Community Project Grants/Byrne Discretionary Grants Program - Invited to Apply</t>
  </si>
  <si>
    <t>Others (see text field entitled "Additional Information on Eligibility" for clarification) OVC sent an invitation to apply to all eligible recipients, which are limited to those identified in the Congressional Joint Explanatory Statement (JES) for the projects designated for funding in the Consolidated Appropriations Act, 2024. A list of the projects designated for funding in FY24 can be found here: FY24 Appropriations. The legal name (or  doing business as  name) associated with the applicant s unique entity identifier (UEI) as registered in the System of Award Management (SAM) must coincide with the recipient listed in the JES.Prospective applicants still uncertain of eligibility after reviewing this section should contact the agency using the information below to confirm status before starting or submitting an application.</t>
  </si>
  <si>
    <t>With this solicitation, OVC seeks to support projects designated for funding in the Consolidated Appropriations Act, 2024 (Public Law 118-42) to improve the functioning of the criminal justice system, to prevent or combat juvenile delinquency, and to assist victims of crime (other than compensation).</t>
  </si>
  <si>
    <t>NIJ FY24 Invited to Apply - Byrne Discretionary Community Project Grants/Byrne Discretionary Grants Program</t>
  </si>
  <si>
    <t>USDOJ-OJP-NIJ</t>
  </si>
  <si>
    <t>National Institute of Justice</t>
  </si>
  <si>
    <t>Others (see text field entitled "Additional Information on Eligibility" for clarification) NIJ sent an invitation to apply to all eligible recipients, which are limited to those identified in the Congressional Joint Explanatory Statement (JES) for the projects designated for funding in the Consolidated Appropriations Act, 2024. A list of the projects designated for funding in FY24 can be found here: FY24 Appropriations. The legal name (or  doing business as  name) associated with the applicant s unique entity identifier (UEI) as registered in the System of Award Management (SAM) must coincide with the recipient listed in the JES.  Prospective applicants still uncertain of eligibility after reviewing this section should contact the agency using the information below to confirm status before starting or submitting an application.</t>
  </si>
  <si>
    <t>With this solicitation, NIJ is seeking applications to support projects designated for funding in the Consolidated Appropriations Act, 2024 (Public Law 118-42) to improve the functioning of the criminal justice system, to prevent or combat juvenile delinquency, and to assist victims of crime (other than compensation).
The explanatory statement regarding the Consolidated Appropriations Act, 2024 (Public Law 118â€“42) lists the designated projects, which the Act incorporates by reference, as stated in relevant part, belowâ€”
$350,028,000 is for discretionary grants to improve the functioning of the criminal justice system, to prevent or combat juvenile delinquency, and to assist victims of crime (other than compensation), which shall be made available for the OJPâ€”Byrne projects, and in the amounts, specified in the table titled â€˜â€˜Community Project Funding/Congressionally Directed Spendingâ€™â€™ included for this division in the explanatory statement described in section 4 (in the matter preceding division A of this consolidated Act[.]
Public Law No. 118â€“42, div. C, title II (2024).</t>
  </si>
  <si>
    <t>OVW Fiscal Year 2024 Strengthening Culturally Specific Campus  Approaches to Address Domestic Violence, Dating Violence, Sexual Assault, and Stalking Initiative</t>
  </si>
  <si>
    <t>USDOJ-OJP-OVW</t>
  </si>
  <si>
    <t>Office on Violence Against Women</t>
  </si>
  <si>
    <t>Public and State controlled institutions of higher education Eligible applicants are limited to: Hispanic Serving Institutions (HSIs), Historically Black Colleges and Universities (HBCUs), and Tribal Colleges and Universities (TCUs) in the United States or U.S. territories.</t>
  </si>
  <si>
    <t>The Grants to Reduce Domestic Violence, Dating Violence, Sexual Assault, and Stalking on Campus Program (Campus Program) (CFDA# 16.525) provides funding for institutions of higher education to develop and strengthen effective strategies to prevent and address domestic violence, dating violence, sexual assault, and stalking on campus, including improving trauma-informed investigations, creating coordinated community response approaches, developing and strengthening victim services, and developing or enhancing prevention education and awareness programs.
OVW created the Strengthening Culturally Specific Campusesâ€™ Approaches to Address Domestic Violence, Dating Violence, Sexual Assault, and Stalking Initiative (hereinafter referred to as the CSC Initiative) with funding from the Campus Program to support Hispanic Serving Institutions (HSIs), Historically Black Colleges and Universities (HBCUs), and Tribal Colleges and Universities (TCUs) in strengthening their institutional response to domestic violence, dating violence, sexual assault, and stalking. By statute (34 U.S.C. 20125(a)(2)(C)), the Attorney General shall make every effort to ensure the equitable distribution of grants to TCUs and HBCUs under the Campus Program and, as a result of the reauthorization of the Violence Against Women Act in 2022, a set aside of 10% was designated for HBCUs in the Campus Programâ€™s statutory authorization of appropriations. In addition, the FY 2022, 2023, and 2024 Consolidated Appropriations Acts included a 50% set aside for HBCUs, TCUs, and HSIs. The activities that will be supported through this initiative will focus on building the capacity of HBCUs, TCUs, and HSIs that have never received a Campus Program grant award or whose most recent award was from FY 2019 or earlier. These federal funds will support the development and implementation of culturally relevant strategies to address domestic violence, dating violence, sexual assault, and stalking, including the development of effective response protocols and prevention programming.</t>
  </si>
  <si>
    <t>OVW Fiscal Year 2024 Training and Services to End Violence and Abuse of Women Later in Life Program</t>
  </si>
  <si>
    <t>Nonprofits having a 501(c)(3) status with the IRS, other than institutions of higher education Eligible applicants are limited to the following entities in the United States or U.S. territories: States; units of local government; tribal governments or tribal organizations; population specific organizations; victim service providers; and state, tribal, or territorial domestic violence or sexual assault coalitions.</t>
  </si>
  <si>
    <t>This program is authorized by 34 U.S.C. Â§ 12421. The Training and Services to End Abuse in Later Life Program (Abuse in Later Life Program) (Assistance Listing # 16.528) supports a comprehensive approach to addressing abuse in later life, including domestic violence, dating violence, sexual assault, stalking, neglect, abandonment, economic abuse, or willful harm committed against victims who are 50 years of age or older.</t>
  </si>
  <si>
    <t>BJA FY24 Matthew Shepard and James Byrd, Jr. Hate Crimes Program</t>
  </si>
  <si>
    <t>Others (see text field entitled "Additional Information on Eligibility" for clarification) State, local, and tribal law enforcement and prosecution agencies. Tribal law enforcement and prosecution agencies must be from Federally recognized Indian tribal governments that perform law enforcement functions (as determined by the Secretary of the Interior).</t>
  </si>
  <si>
    <t>With this solicitation, BJA seeks to support efforts by state, local, and tribal law enforcement and prosecution agencies and their partners in conducting outreach, educating practitioners and the public, enhancing victim reporting tools, and investigating and prosecuting hate crimes committed on the basis of a victimâ€™s perceived or actual race, color, religion, national origin, sexual orientation, gender, gender identity, or disability.</t>
  </si>
  <si>
    <t>FY2024 Food For Progress</t>
  </si>
  <si>
    <t>USDA-FAS</t>
  </si>
  <si>
    <t>Foreign Agricultural Service</t>
  </si>
  <si>
    <t>Others (see text field entitled "Additional Information on Eligibility" for clarification) See Section C of the funding opportunity announcement for eligibility information.</t>
  </si>
  <si>
    <t>The Food for Progress (FFPr) Program provides for the donation of U.S. agricultural commodities to developing countries and emerging democracies committed to introducing and expanding free enterprise in the agricultural sector. The commodities are generally sold on the local market and the proceeds are used to support agricultural development activities.Food for Progress has two high-level strategic objectives: (1) increase agricultural productivity, and (2) expand trade of agricultural products (domestically, regionally, and internationally).</t>
  </si>
  <si>
    <t>MONITORING OF SUBTIDAL FISH AND INVERTEBRATES INSIDE AND OUT OF NO-TAKE SAFETY ZONES AT SAN CLEMENTE ISLAND, CA</t>
  </si>
  <si>
    <t>DOD-ONR-FAC-N62473</t>
  </si>
  <si>
    <t>Naval Facilities Engineering Command Southwest</t>
  </si>
  <si>
    <t>Others (see text field entitled "Additional Information on Eligibility" for clarification) Any Cooperative Ecosystem Studies Unit Californian cooperative partner who qualifies under the DoDGARS Part 34 or 2 CFR 200 is eligible to apply.  Please see applicable terms and conditions, provided as a separate attachment.</t>
  </si>
  <si>
    <t>Naval Auxiliary Landing Field San Clemente Island (SCI) is designated as an Area of Special Biological Significance and under Executive Order 13158, all Areas of Special Biological Significance were deemed National Marine Protected Areas. The Marine Life Protection Act Amendments of 2004 required the effectiveness of all National Marine Protected Areas, California State Marine Protected Areas, and Areas of Special Biological Significance to be reevaluated to design new Marine Protected Areas that together function as a statewide network. The 1999 and 2004 amendments of the Marine Life Protection Act (Chapter 10.5 of the California Fish and Game Code, Â§2850-2863) directed the state to reevaluate and redesign Californiaâ€™s system of Marine Protected Areas and requires monitoring of those Marine Protected Areas. All of the Channel Islands, including SCI, were considered for designation of Marine Protected Areas. 
In 2010, the U.S. Coast Guard (USCG) established permanent safety zones (Federal Register Vol. 75, No. 97) off the shore of SCI in order to conduct training essential to successfully accomplishing U.S. Navy missions relating to military operations and national security. The safety zones are intended to protect the public from hazardous, live-fire, and testing operations, and to ensure operations proceed as scheduled. With the establishment of safety zones, the Navy withdrew such areas from unrestricted public use in favor of utilizing these areas for military training.
To achieve compliance with the SCI Integrated Natural Resource Management Plan (INRMP), Executive Order 13158, and to avoid designation of a state Marine Protected Area, the SCI INRMP boundary was extended to align with the safety zone boundaries established by USCG. As agreed with the State and the INRMP, these safety zones act as defacto Marine Protected Areas and are monitored similarly to the South Coast Marine Protected Areas. In 2012/2013, baseline Remotely Operated Vehicle surveys and bathymetric mapping efforts were conducted at SCI to support safety zone monitoring. 
The work under this proposed Cooperative Agreement will build on the baseline 2012/2013 Remotely Operated Vehicle surveys and 2019/2020 continued long-term monitoring efforts to continue to evaluate changes to fishes and invertebrates inside and outside no-take safety zones. The objective of this project is to continue long-term monitoring of fishes and invertebrates in order to evaluate the ecological changes within the SCI safety zones with a focus on evaluating differences between the no-take safety zones and those that are open to fishing consistent with the California Department of Fish and Wildlife Marine Protected Area Monitoring Action Plan (California Department of Fish and Wildlife and California Ocean Protection Council, 2018; https://www.wildlife.ca.gov/Conservation/Marine/MPAs/Management/Monitoring/Action-Plan).
Brief Description of the Anticipated Work: 
This Cooperative Agreement includes three Base Tasks. The first base task is to conduct subtidal, imagery-based habitat surveys for fishes and selected invertebrates based on species observed in 2024/2025. The second base task is to conduct spatial analyses (including, but not limited to, habitat suitability models) on the fish and invertebrate data combined with existing bathymetric maps of the seafloor. The third base task is to develop a preliminary report with a summary of the surveys. The specific requirements for each Base Task are described below.
1. Survey Subtidal Habitat for Demersal Fishes and Invertebrates:
The Recipient shall conduct imagery-based subtidal surveys for fishes and selected invertebrates with protocols approved by the Cooperative Agreement Technical Representative (CATR). Surveys shall focus on, but are not limited to, species identified in the 2012 â€“ 2015 and 2019/2020 Remotely Operated Vehicle surveys and to the best extent practicable sample at previously surveyed sites.
The Recipient shall be responsible for scheduling and coordinating field activities such as surveying with the CATR, and other necessary island personnel. The Recipient shall be responsible for providing information necessary to obtain security passes for all personnel and vehicles requiring access to the Navy installations at least one month prior to surveys. The Recipient shall submit the information necessary to obtain the security passes at least one month in advance of initial access. The CATR will assist in obtaining the security passes.
2. Conduct Comprehensive Spatial Analyses of Patterns in the Distribution of Demersal Fishes and Invertebrates:
The Recipient shall conduct comprehensive spatial analyses of imagery-derived data, combined with habitat classification maps of the subtidal environment. Analyses shall be conducted using the current best practices and the appropriate software for such analyses. 
3. Draft and Final Technical Report:
The draft and final preliminary report shall be submitted in accordance with Section J. Submittals and Schedules. The report shall be in scientific format and include the following: 1) Title page showing title, date, cooperative agreement number, Pacific Fleet Representative and Cooperative Agreement Technical Representative contact information; 2) Sub-title page showing title, prepared by and for listings, date and recommended citation; 3) Table of contents; 4) Abstract or Executive Summary; 5) Introduction; 6) Methods; 7) Results; 8) Discussion; 9) Conclusions (to include synthesis with previous work and recommendations for future study); 10) Legible copies of the field notes, data forms and other information.
Please see enclosure 1 for full scope of work and enclosure 2 for applicable terms and conditions.</t>
  </si>
  <si>
    <t>ISLAND-WIDE BLACK ABALONE SURVEYS AND HABITAT CHARACTERIZATION AT  SAN CLEMENTE ISLAND (SCI), CA</t>
  </si>
  <si>
    <t>Overview: Island-wide population assessments support compliance with the San Clemente Island (SCI) Integrated Natural Resource Management Plan (INRMP), and also provide a benefit to the black abalone species as required under section 4(a)(3)(B) of the Endangered Species Act (ESA) (16 U.S.C. 35). The SCI INRMP main objective for black abalone is to â€œcontinue to monitor and support the recovery of the black abalone population in suitable rocky intertidal habitat to increase the population at SCI,â€ which specifically calls for efforts to â€œcontinue to refine knowledge of, and monitor, the black abalone population and density at SCIâ€. Endangered black abalone are currently present on SCI, managed under the SCI INRMP, and continued critical habitat exemption is still crucial to support the Navyâ€™s mission on SCI. Thus, it is imperative that the present black abalone population size and density estimates are investigated. Details of the location, abundance, and habitat suitability for endangered black abalone on SCI will assist natural resource managers in conservation of the species, aid in recovery efforts for the species on SCI, and will support ongoing and future Navy operations to support the Mission. Please see the statement of Objectives, provided as a separate document, for a full description of the project.</t>
  </si>
  <si>
    <t>Clean Heavy-Duty Vehicles Grants</t>
  </si>
  <si>
    <t>This notice announces the availability of funds and solicits applications from eligible entities to incentivize and accelerate the replacement of existing non-ZE Class 6 and 7 heavy-duty vehicles with ZE vehicles. The EPA anticipates awarding up to $932 million in funds under this Clean Heavy-Duty Vehicles (CHDV) Grants NOFO, subject to the availability of funds, the quantity and quality of applications received, support for communities overburdened by air pollution, applicability of different business models, and other applicable considerations described in this document. This funding to support ZE vehicles will benefit communities across the United States (U.S.), especially communities that are disproportionately burdened by air pollution and marginalized by underinvestment. These replacement vehicles will ensure cleaner air for the communities in which they operate. The reduction in greenhouse gas emissions from these vehicle replacements will also help address the outsized role of the transportation sector in fueling the climate crisis.</t>
  </si>
  <si>
    <t>Bridging Opportunities: Empowerment for Young Roma through English Language and Soft Skills Training in the Czech Republic</t>
  </si>
  <si>
    <t>DOS-CZE</t>
  </si>
  <si>
    <t>U.S. Mission to the Czech Republic</t>
  </si>
  <si>
    <t>The U.S. Embassy in Prague Public Diplomacy Section (PDS) of the U.S. Department of State is pleased to announce an opportunity for not-for-profit organizations/non-governmental organizations (NGOs) or academic institutions to submit project proposals to carry out a program of empowering young Roma individuals in the Czech Republic through the development and implementation of a comprehensive English language training program, complemented by soft skills training tailored specifically for this demographic. The overarching goal of this program is to address the critical need for enhanced English language proficiency and the cultivation of essential soft skills among the Roma youth population. This program aims to create pathways for improved access to education, expanded employment opportunities, increased social integration for Roma youth across the Czech Republic, and greater capacity to participate in international exchanges and collaborate with international NGOs. 
Priority Region: Czech Republic, with particular emphasis on activities outside the capital of Prague 
Participants and Audiences: The program targets young Roma individuals aged 15-25 residing in the Czech Republic, with a particular emphasis on reaching those facing socio-economic barriers to education and employment opportunities. Competitive proposals will create program cohorts in more than one Czech city. Proposals should include information on which specific cities will be targeted for courses, how many students will be enrolled, and what age cohorts within the target will be included in the proposed programs. 
Project Activities: Project activities, which can be carried out directly by the primary implementing organization or which may include sub-awards to partner organizations, should include all the following components: 
 English Language Proficiency Enhancement: Develop a dynamic and interactive English language curriculum catered to the specific needs and backgrounds of young Roma individuals. Develop a schedule of courses that utilize innovative teaching methodologies, multimedia resources, and culturally relevant content to create a supportive and engaging learning environment. 
 Soft Skills Development: Develop and provide comprehensive and age-appropriate training modules focusing on essential soft skills, which may include topics such as communication, teamwork, problem-solving, job interviews, public speaking, computer skills, and leadership. Through experiential learning activities, role-playing scenarios, and real-world applications, participants should gain the necessary skills and confidence to navigate academic, professional, and social contexts effectively. 
 Empowerment and Opportunities: Offer mentorship opportunities, networking, and access to resources aimed at holistic personal and professional development. This includes guidance on career pathways, educational opportunities, and strategies for overcoming societal barriers faced by Roma youth. 
 Monitoring and Evaluation: Implement robust monitoring and evaluation mechanisms to track the progress and impact of the program. Regular assessments, feedback sessions, and qualitative analysis will ensure continuous improvement and accountability throughout program implementation. Proposals should note how many students will participate, expected completion rates, and how progress on skills will be measured, including whether participants will receive any kind of certification for completing the program. 
Program Performance Period: Proposed programs should be completed in 24 months or less.  
All application materials must be submitted by email to grantsprague@state.gov with the subject line â€œEmpowerment for Young Roma through English Languageâ€. Applications submitted after the deadline will not be considered.</t>
  </si>
  <si>
    <t>Office of Elementary and Secondary Education (OESE): Charter School Program (CSP): CSP Developer Grants for The Opening of New Charter Schools, Assistance Listing Number 84.282B</t>
  </si>
  <si>
    <t>ED</t>
  </si>
  <si>
    <t>Department of Education</t>
  </si>
  <si>
    <t>Others (see text field entitled "Additional Information on Eligibility" for clarification) 1.  Eligible Applicants:  Eligible applicants are developers that have--(a)  Applied to an authorized public chartering authority to operate a charter school; and      (b)  Provided adequate and timely notice to that authority.  (Section 4310(6) of the ESEA).  Additionally, the charter school must be located in a State with a State statute specifically authorizing the establishment of charter schools (as defined in section 4310(2) of the ESEA) and in which a State entity currently does not have a CSP State Entity grant (Assistance Listing Number 84.282A) under section 4303 of the ESEA.   (Section 4305(a)(2) of the ESEA).         As a general matter, the Secretary considers charter schools that have been in operation for more than five years to be past the initial implementation phase and, therefore, ineligible to receive CSP funds under Assistance Listing Number 84.282B to support the opening of a new charter school or under Assistance Listing Number 84.282E for the replication of a high-quality charter school; however, such schools may receive CSP funds under Assistance Listing Number 84.282E for the expansion of a high-quality charter school.Note:  Under 34 CFR 75.51, an applicant may show that it is a nonprofit organization by any of the following means:  (1) proof that the Internal Revenue Service currently recognizes the applicant as an organization to which contributions are tax deductible under section 501(c)(3) of the Internal Revenue Code; (2) a statement from a State taxing body or the State attorney general certifying that the organization is a nonprofit organization operating within the State and that no part of its net earnings may lawfully benefit any private shareholder or individual; (3) a certified copy of the applicant's certificate of incorporation or similar document if it clearly establishes the nonprofit status of the applicant; or (4) any item described above if that item applies to a State or national parent organization, together with a statement by the State or parent organization that the applicant is a local nonprofit affiliate.</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</si>
  <si>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major purposes of the CSP are to expand opportunities for all students, particularly for children with disabilities[1], English learners, and other traditionally underserved students, to attend charter schools and meet challenging State academic standards; provide financial assistance for the planning, program design, and initial implementation of charter schools; increase the number of high-quality charter schools available to students across the United States; evaluate the impact of charter schools on student achievement, families, and communities; share best practices between charter schools and other public schools; aid States in providing facilities support to charter schools; support efforts to strengthen the charter school authorizing process; and support quality, accountability, and transparency in the operational performance of all authorized public chartering agencies, including State educational agencies (SEAs) and local educational agencies (LEAs) (section 4301 of the Elementary and Secondary Education Act of 1965, as amended by the Every Student Succeeds Act (ESEA)). 
 The CSP Developer Grant program (Assistance Listing Numbers 84.282B and 84.282E) is authorized under Title IV, Part C of the ESEA (20 U.S.C. 7221-7221j). Through CSP Developer Grants, the Department provides financial assistance to charter school developers to enable them to open and prepare for the operation of new or replicated charter schools or to expand high-quality charter schools in States that do not currently have a CSP State Entity grant under the ESEA. Charter schools that receive financial assistance through CSP Developer Grants provide elementary or secondary education programs, or both, and may also serve students in early childhood education programs or postsecondary students, consistent with the terms of their charter. 
Assistance Listing Number (ALN) 84.282B 
[1] Terms defined in this notice are italicized the first time each term is used.</t>
  </si>
  <si>
    <t>Rural Decentralized Water System Grant Program</t>
  </si>
  <si>
    <t>USDA-RUS</t>
  </si>
  <si>
    <t>Rural Utilities Service</t>
  </si>
  <si>
    <t>Others (see text field entitled "Additional Information on Eligibility" for clarification) Information on eligibility is available at this website: https://www.rd.usda.gov/programs-services/water-environmental-programs/rural-decentralized-water-systems-grant-program</t>
  </si>
  <si>
    <t>The DWS Grant Program has been established to help individuals with low to moderate incomes finance the costs of household water wells and individually owned decentralized wastewater systems that they own or will own. Grant funds must be used to establish and maintain a revolving fund to provide loans and sub-grants to eligible individuals for individually owned water well systems and/or individually owned wastewater systems. Individual households may use the loan and/or sub-grant funds to construct, refurbish, rehabilitate, or replace decentralized water systems up to the point of entry to a home. Point of entry for the well system is the junction where water enters into a home water delivery system after being pumped from a well. For septic systems, in lieu of the point of entry, the point of exit is substituted. The point of exit is the junction where wastewater exits out of the home wastewater collection system into the septic tank and drain field. Grant funds may be used to pay administrative expenses associated with providing DWS loans and/or sub-grants.</t>
  </si>
  <si>
    <t>Delta Health Systems Implementation Program</t>
  </si>
  <si>
    <t>State governments You can apply if your organization is located in a rural county or parish in the Delta region and is:  Public or private, non-profit or for-profit  Community-based  Tribal (governments, organizations) The Delta region includes 252 counties and parishes located across eight states - Alabama, Arkansas, Illinois, Kentucky, Louisiana, Mississippi, Missouri, and Tennessee. To view maps of the counties and parishes in each state that are in the Delta region, visit https://dra.gov/about-dra/map-room/. To determine if a county or parish in the Delta region is rural visit https://www.ruralhealthinfo.org/am-i-rural. Include proof of your organizations location in a rural county or parish in the Delta region in Attachment 3.</t>
  </si>
  <si>
    <t>This notice announces the opportunity to apply for funding under the Delta Health Systems Implementation Program (DSIP). The purpose of this program is to improve healthcare delivery in rural areas by implementing projects that will improve the financial sustainability of hospitals and allow for increased access to care in rural communities. These projects focus on financial and operational improvement, quality improvement, telehealth, and workforce development in hospitals in the rural counties and parishes of the Delta region.
 The Delta region includes 252 counties and parishes located across eight states: Alabama, Arkansas, Illinois, Kentucky, Louisiana, Mississippi, Missouri, and Tennessee. To view maps of the counties and parishes in each state that are in the Delta region, visit https://dra.gov/about-dra/map-room. To determine if a county or parish in the Delta region is rural visit https://www.ruralhealthinfo.org/am-i-rural
 Funding is provided to support small rural hospitals (critical access hospitals or inpatient prospective payment system facilities with up to 100 beds) in the Delta region that have received previous technical assistance (TA) through the Delta Region Community Health Systems Development Program (DRCHSD) or another similar TA program within the last five years. The DRCHSD Program provides intensive, multi-year technical assistance to healthcare facilities located in the Delta region for free. DSIP is an extension of the DRCHSD Program and is designed to help hospitals that previously received TA, from DRCHSD or another similar TA program, to implement projects based on the recommendations from their TA.
 Program Objective
 Improve health care in rural areas through projects in these focus areas:
 â€¢ Financial and operational improvements;
 â€¢ Implementation of quality improvement initiatives;
 â€¢ Expansion of telehealth services and financial/operational systems enhancements;
 â€¢ Workforce recruitment and retention initiatives; and
 â€¢ The development of new service lines to address the needs of the community, including populations in the community that have been historically underserved.
 Implementation project activities could include, but are not limited to:
 â€¢ Financial and Operational (such as developing new service lines, increasing inpatient and swing bed volume, increasing outpatient services, implementing revenue cycle best practices to increase point of service collections, and optimizing emergency department operations)
 â€¢ Quality (such as reducing readmissions, improving transitions of care and discharge planning, implementing performance measurement systems, clinical documentation integrity training, and utilizing data analytics)
 â€¢ Telehealth (such as expanding telehealth services, and enhancing cybersecurity)
 â€¢ Workforce (such as recruitment initiatives, implementing new technology to increase clinical efficiency, simulation training for clinicians, and leadership training such as rounding to improve patient and employee satisfaction)
 HRSA will work with recipients of this grant to identify the appropriate measures to show improvement in financial sustainability and the impact of their specific implementation projects.</t>
  </si>
  <si>
    <t>Office of Elementary and Secondary Education (OESE): Charter School Program (CSP): State Charter School Facilities Incentive Grant (SFIG) Program, Assistance Listing Numbers 84.282D</t>
  </si>
  <si>
    <t>Others (see text field entitled "Additional Information on Eligibility" for clarification) 1.  Eligible Applicants:  States.  In order to be eligible to receive a grant, a State shall establish or enhance, and administer, a per-pupil facilities aid program for charter schools in the State, that--(a) Is specified in State law; and(b)  Provides annual financing, on a per-pupil basis, for charter school facilities.Note:  A State that is required under State law to provide charter schools with access to adequate facility space, but that does not have a per-pupil facilities aid program for charter schools specified in State law, is eligible to receive a grant if the State agrees to use the funds to develop a per-pupil facilities aid program consistent with the requirements in this notice inviting applications.</t>
  </si>
  <si>
    <t xml:space="preserve">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SFIG Program is authorized under Title IV, Part C of the Elementary and Secondary Education Act of 1965, as amended by Every Student Succeeds Act (ESEA) (20 U.S.C. 7221k). Through the SFIG Program, the Department provides grants to eligible States to help them establish or enhance, and administer, a per-pupil facilities aid program for charter schools in the State, that is specified in State law, and provides annual financing, on a per-pupil basis, for charter school facilities.  
Assistance Listing Number (ALN) 84.282D. 
 </t>
  </si>
  <si>
    <t>Office of Postsecondary Education (OPE): Higher Education Programs (HEP): Graduate Assistance in Areas of National Need (GAANN), Assistance Listing Number 84.200A</t>
  </si>
  <si>
    <t>Private institutions of higher education 1.	  Eligible Applicants:  	(a)  Any academic department of an IHE that provides a course of study that--(i) Leads to a graduate degree in an area of national need; and (ii) Has been in existence for at least four years at the time of an application for a grant under this competition.	(b)  Eligible applicants may apply alone or in partnership with one or more eligible nondegree granting institutions that have formal arrangements for the support of doctoral dissertation research.Note: A formal arrangement under paragraph (b) is a written agreement between a degree-granting institution and an eligible nondegree granting institution whereby the degree-granting institution accepts students from the eligible nondegree granting institution as doctoral degree candidates with the intention of awarding these students doctorates in an area of national need. Note:  A school or department of divinity is not eligible for a grant. Note:  Students are not eligible to apply for grants under this program.</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</si>
  <si>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GAANN Program provides grants to academic departments and programs of institutions of higher education (IHEs) to support graduate fellowships for students with excellent academic records in their previous programs of study who demonstrate financial need and plan to pursue the highest degree available in their course of study at the institution. 
Assistance Listing Number (ALN) 84.200A.</t>
  </si>
  <si>
    <t>Monitoring Potential Cadmium Levels in Avian Tissues Associated with the Savannah Harbor Expansion Project (SHEP)</t>
  </si>
  <si>
    <t>DOD-COE</t>
  </si>
  <si>
    <t>Dept. of the Army  --  Corps of Engineers</t>
  </si>
  <si>
    <t>Others (see text field entitled "Additional Information on Eligibility" for clarification) This opportunity is restricted to non-federal partners of the Piedmont-South Atlantic Coast Cooperative Ecosystems Studies Unit (CESU).</t>
  </si>
  <si>
    <t xml:space="preserve">The Savannah Harbor DMCAs are located in Jasper County, South Carolina. Pre-construction baseline sampling efforts entailed data collection, integration, and analysis of avian blood/tissue of birds in DMCAs 12A. 13A, 13B, 14A, and 14B (see below). Subsequent during and post-construction sampling efforts have been concentrated in DMCA 14A, the disposal area that received the Cd-laden sediments. Sampling also may occur in adjacent DMCAs 13B and 14B when construction prohibits sampling or bird abundance is low in 14A.  
The general objectives of the project are:  
Objective 1: Conduct field work to collect avian blood and tissue samples of target species from the approved DMCAs during the post-construction period, during the placement of the cap/cover, and potentially for three years after the placement is complete. Blood and tissue samples may be collected using either live capture or by lethal collection (with permit), depending on the bird species. Target species have been changed over time due to lack of abundance or difficulty in trapping certain species. Current target species and sampling methodology can be found in the most recent progress and annual reports from the SHEP monitoring website http://www.shep.uga.edu/. Changes in target species must be approved by USACE.  
Objective 2:  Conduct chemical analysis. Biological samples (e.g., blood, tissues) will be analyzed for cadmium as well as a suite of other metals (arsenic, chromium, copper, lead, selenium, zinc). 
Objective 3: Prepare quarterly progress reports, and annual reports to include documentation of methods, software (if applicable), and analyses conducted throughout the duration of the work based on the federal fiscal calendar year (October 1 to September 30). The recipient/awardee may be asked to present research findings and monitoring results to the natural resource agencies and/or the public. The recipient/awardee must attend the annual SHEP stakeholder meeting and present the previous yearâ€™s monitoring results.  
 D. Public Benefit: The Savannah Harbor DMCAs contain upland and aquatic habitats and are also bound by salt marsh and riverine habitats. As a result, these habitat areas attract a wide range of avifauna, and thus deposition of the dredged material may be a potential contaminant exposure route for birds. There are several protected bird species popular among the public and bird enthusiasts such as bald eagles, least terns, and wood storks that use the DMCAs for foraging/feeding and nesting habitat. Monitoring data results will be used to document any potential long- or short-term SHEP impacts to these protected species as well as other bird species. The DMCAs also serve as host sites for tour groups from both the National Audubon and Georgia Ornithological Societies. Also, a web portal has been established which will increase public awareness regarding monitoring and management plans in response to the physical, chemical, and biological impacts from the SHEP. The current interactive website is accessible to the public and frequently visited. </t>
  </si>
  <si>
    <t>Office of Elementary and Secondary Education (OESE): Charter School Program (CSP): CSP Grants to State Entities, Assistance Listing Number 84.282A</t>
  </si>
  <si>
    <t>Others (see text field entitled "Additional Information on Eligibility" for clarification) 1.  Eligible Entities:  State entities in States with a specific State statute authorizing the granting of charters to schools.Under section 4303(e)(1) of the ESEA, no State entity may receive a grant under this competition for use in a State in which a State entity is currently using a CSP State Entity grant.  Thus, if multiple State entities in a State submit applications that receive high enough scores to be recommended for funding under this competition, only the highest scoring application among such State entities will be funded.  Likewise, State entities located in States in which a State entity has a current CSP State Entity grant that is not in its final budget period (or is in its final budget period, but the grantee plans to request a one-time no-cost extension in accordance with 34 CFR 75.261 and 2 CFR 200.308(e)(2) ) (i.e., Alabama, Connecticut, District of Columbia, Florida, Georgia, Idaho, Illinois, Indiana, Louisiana, Maryland, Massachusetts, Minnesota, Mississippi, Missouri, Nevada, New Hampshire, New Jersey, New Mexico, Oklahoma, Pennsylvania, South Carolina, Tennessee, Texas, Washington, West Virginia, and Wisconsin) are ineligible to apply for a CSP State Entity grant under this competition.  State entities located in States in which a State entity has a current CSP State Entity grant that is operating under a no-cost extension (i.e., Arizona, Arkansas, California, Colorado, Delaware, Michigan, New York, North Carolina, and Rhode Island), or that is not operating under a no-cost extension but is in its final budget period and has notified the Department that it does not intend to request a no-cost extension (i.e., none), however, are eligible to apply for a CSP State Entity grant under this competition. The Department will accept applications from current State entity grantees located in these States as well as from State entities located in these States that do not have current grants. Consistent with section 4303(e)(1), if a State entity is approved for a new CSP State Entity grant under this competition for use in a State in which a State entity has a current CSP State Entity grant that is operating under a no-cost extension (or that is in its final budget period and does not request a no-cost extension at least 10 calendar days before the end of the performance period specified in the Federal award in accordance with 2 CFR 200.308(e)(2)), the current State entity grantee must (a) obligate all grant funds; (b) complete all grant and subgrant activities; and (c) begin the grant closeout process (i.e., liquidating the grant and not incurring new costs) prior to the expiration date of the no-cost extension (or the end of the performance period for a grantee that is in its final budget period and did not request a no-cost extension). In its application, the State entity that is applying for the new award may request a waiver under section 4303(d)(5) of the ESEA to enable it to award a second subgrant within a five-year period to eligible applicants that previously received a subgrant from the current State entity grantee but will be unable to complete their subgrant activities before the current State Entity grant expires, without requiring the eligible applicant to demonstrate three years of improved educational results as required under section 4303(e)(2) of the ESEA.State entities in States in which an SEA has a current CSP Grant for SEAs (i.e., Ohio) that was awarded under the Elementary and Secondary Education Act of 1965, as amended by the No Child Left Behind Act of 2001 (i.e., prior to FY 2017), are eligible to apply for a CSP State Entity grant under this competition, as long as no other State entity in the State has a current CSP State Entity grant that is not in its final budget period nor operating under a no-cost extension.</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</si>
  <si>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CSP State Entity program, ALN 84.282A, is authorized under Title IV, Part C of the Elementary and Secondary Education Act of 1965, as amended by the Every Student Succeeds Act (ESEA) (20 U.S.C. 7221-7221j). Through the CSP State Entity competition, the Department awards grants to State entities that, in turn, award subgrants to eligible applicants for the purpose of opening new charter schools and replicating and expanding high-quality charter schools. State entities also may use grant funds to provide technical assistance to eligible applicants and authorized public chartering agencies in opening new charter schools and replicating and expanding high-quality charter schools, and to work with authorized public chartering agencies in the State to improve authorizing quality, including developing capacity for, and conducting, fiscal oversight and auditing of charter schools. State Entity grant funds may also be used for grant administration, which may include technical assistance and monitoring of subgrants for performance and fiscal and regulatory compliance, as required under 2 CFR 200.332(d). 
 The CSP State Entity program provides financial assistance to State entities to support charter schools that serve elementary and secondary school students in States with a specific State statute authorizing the granting of charters to schools. Charter schools receiving funds under the CSP State Entity program may also serve students in early childhood education programs or postsecondary students.  
Assistance Listing Number (ALN) 84.282A.</t>
  </si>
  <si>
    <t>FY 2024 Citizenship and Integration Grant Program: Citizenship Instruction and Naturalization Application Services (CINAS)</t>
  </si>
  <si>
    <t>DHS-OPO</t>
  </si>
  <si>
    <t>Office of Procurement Operations - Grants Division</t>
  </si>
  <si>
    <t xml:space="preserve">State governments </t>
  </si>
  <si>
    <t xml:space="preserve">OCPE is charged with promoting instruction and training on the rights and responsibilities of citizenship. USCIS recognizes that naturalization is a key milestone in the civic integration of immigrants. Naturalization requirements, such as knowledge of English, U.S. history, and government, encourage civic learning and build a strong foundation upon which immigrants can fully integrate into American society. Through preparing for naturalization, immigrants gain tools to become successful citizens and meet their responsibilities as United States citizens.The goal of the Citizenship and Integration Grant Program is to expand the availability of high-quality citizenship preparation services for lawful permanent residents (LPRs) across the nation and to provide opportunities for immigrants to gain the knowledge and skills necessary to integrate into the fabric of American society.Since it began in 2009, the Citizenship and Integration Grant Program has awarded more than $55 million through 644 competitive grants to immigrant-serving organizations in 41 states and the District of Columbia. Now in its 16th year, the program has helped more than 300,000 LPRs prepare for citizenship.The Citizenship Instruction and Naturalization Application Services (CINAS) funding opportunity provides support to organizations that offer citizenship preparation services to LPRs. Additional activities that support this goal include identifying, implementing, and sharing best practices in citizenship preparation; increasing the use of and access to technology in citizenship preparation programs; working with local libraries and museums which serve as vital resources for immigrant communities; and incorporating strategies to foster welcoming communities as part of the citizenship and civic integration process. </t>
  </si>
  <si>
    <t>Office of Elementary and Secondary Education (OESE): Charter School Program (CSP): CSP Developer Grants for the Replication and Expansion of High-Quality Charter Schools, Assistance Listing Number 84.282E</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</si>
  <si>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major purposes of the CSP are to expand opportunities for all students, particularly for children with disabilities[1], English learners, and other traditionally underserved students, to attend charter schools and meet challenging State academic standards; provide financial assistance for the planning, program design, and initial implementation of charter schools; increase the number of high-quality charter schools available to students across the United States; evaluate the impact of charter schools on student achievement, families, and communities; share best practices between charter schools and other public schools; aid States in providing facilities support to charter schools; support efforts to strengthen the charter school authorizing process; and support quality, accountability, and transparency in the operational performance of all authorized public chartering agencies, including State educational agencies (SEAs) and local educational agencies (LEAs) (section 4301 of the Elementary and Secondary Education Act of 1965, as amended by the Every Student Succeeds Act (ESEA)). 
 The CSP Developer Grant program (Assistance Listing Numbers 84.282B and 84.282E) is authorized under Title IV, Part C of the ESEA (20 U.S.C. 7221-7221j). Through CSP Developer Grants, the Department provides financial assistance to charter school developers to enable them to open and prepare for the operation of new or replicated charter schools or to expand high-quality charter schools in States that do not currently have a CSP State Entity grant under the ESEA. Charter schools that receive financial assistance through CSP Developer Grants provide elementary or secondary education programs, or both, and may also serve students in early childhood education programs or postsecondary students, consistent with the terms of their charter. 
Assistance Listing Number (ALN) 84.282E. 
[1] Terms defined in this notice are italicized the first time each term is used.</t>
  </si>
  <si>
    <t>OJJDP FY24 Byrne Discretionary Community Project Grants/Byrne Discretionary Grants Program - Invited to Apply</t>
  </si>
  <si>
    <t>Others (see text field entitled "Additional Information on Eligibility" for clarification) OJJDP sent an invitation to apply to all eligible recipients, which are limited to those identified in the Congressional Joint Explanatory Statement (JES) for the projects designated for funding in the Consolidated Appropriations Act, 2024. A list of the projects designated for funding in FY24 can be found here: FY24 Appropriations. The legal name (or  doing business as  name) associated with the applicant s unique entity identifier (UEI) as registered in the System of Award Management (SAM) must coincide with the recipient listed in the JES.</t>
  </si>
  <si>
    <t>With this solicitation, OJJDP seeks to support projects designated for funding in the Consolidated Appropriations Act, 2024 (Public Law 118-42) to improve the functioning of the criminal justice system, to prevent or combat juvenile delinquency, and to assist victims of crime (other than compensation).</t>
  </si>
  <si>
    <t>Regional Scale Collaboration to Facilitate a Domestic Critical Minerals Future: Carbon Ore, Rare Earth, and Critical Minerals (CORE-CM) Initiative</t>
  </si>
  <si>
    <t>Unrestricted (i.e., open to any type of entity above), subject to any clarification in text field entitled "Additional Information on Eligibility" See Section III of the Funding Opportunity Announcement for a full description of the eligibility requirements.</t>
  </si>
  <si>
    <t>Regional Scale Collaboration to Facilitate a Domestic Critical Minerals Future: Carbon Ore, Rare Earth, and Critical Minerals (CORE-CM) Initiative The planned Research and Development will provide a regional scale understanding of critical minerals prospectivity and provides insight into the potential materials that may be sourced from domestic secondary and unconventional feedstocks across the United States. The work will contribute to the development of a framework that addresses economic and supply chain barriers, leads to pilot scale demos, and broaden scope to include advanced carbon or critical mineral bearing material products.</t>
  </si>
  <si>
    <t>OVW Fiscal Year 2024 Electronic Service Protection Order Court Pilot</t>
  </si>
  <si>
    <t>Others (see text field entitled "Additional Information on Eligibility" for clarification) Eligible applicants are limited to: state courts, territorial courts, or tribal courts.</t>
  </si>
  <si>
    <t>The Electronic Service Protection Order Court Pilot (ESPOC) (CFDA 16.062) supports efforts to develop and implement programs for properly and legally serving protection orders through electronic communication methods. The program requires the Department of Justice to award grants to state or tribal courts that are a part of a multidisciplinary partnership that includes, to the extent practicable, a state, tribal, or local law enforcement agency; a state, tribal, or local prosecutorâ€™s office; a victim service provider or state or tribal domestic violence coalition; a provider of culturally specific services; a nonprofit program or government agency with demonstrated experience in providing legal assistance or legal advice to victims of domestic violence and sexual assault; the bar association of the state or tribe; the state or tribal association of court clerks; a state, tribal, or local association of criminal defense attorneys; at least two individuals with experience in design and management of court case management systems; at least two state or tribal court judges with expertise in domestic violence and issuing protective orders; and a judge assigned to the criminal docket of the state or tribal court.</t>
  </si>
  <si>
    <t>OVW Fiscal Year 2024 State and Territory Domestic Violence and Sexual Assault Coalitions Program</t>
  </si>
  <si>
    <t>Others (see text field entitled "Additional Information on Eligibility" for clarification) Eligible applicants are limited to: state and territory domestic violence and sexual assault coalitions in the United States or U.S. territories.</t>
  </si>
  <si>
    <t>This program is authorized by 34 U.S.C. Â§ 10441(c) and 34 U.S.C. Â§ 12511(d). 
The OVW State and Territory Domestic Violence and Sexual Assault Coalitions Program, (Coalitions Program, CFDA 16.556) is authorized by 34 U.S.C. Â§ 10441(c). This grant program supports the critical work of state and territory domestic violence and sexual assault coalitions and is a set-aside program under the OVW STOP Violence Against Women Formula Grant Program statute. These organizations play an important role in advancing the goal of ending domestic violence, dating violence, sexual assault, and stalking. 
This program also includes a statutory set-aside from the Sexual Assault Services Program (SASP) statute, specifically for state and territory sexual assault coalitions (34 U.S.C Â§ 12511(d)).</t>
  </si>
  <si>
    <t>OVW Fiscal Year 2024 Sexual Assault Services Formula Program</t>
  </si>
  <si>
    <t>Others (see text field entitled "Additional Information on Eligibility" for clarification) Eligible applicants are limited to: any state of the United States, the District of Columbia, the Commonwealth of Puerto Rico, the United States Virgin Islands, American Samoa, Guam, and the Commonwealth of the Northern Mariana Islands. Specifically, only the designated state office may apply.</t>
  </si>
  <si>
    <t>This program is authorized by 34 U.S.C Â§ 12511. The Sexual Assault Services Formula Program (SASP Formula) (Assistance Listing Number 16.017) provides grant dollars to states and territories to assist them in supporting rape crisis centers and other nonprofit, nongovernmental organizations or tribal programs that provide direct intervention and related assistance to victims of sexual assault, without regard to age.</t>
  </si>
  <si>
    <t>Natural Resources Training and Education at Mill Creek</t>
  </si>
  <si>
    <t>DOD-COE-WW</t>
  </si>
  <si>
    <t>Walla Walla District</t>
  </si>
  <si>
    <t>Others (see text field entitled "Additional Information on Eligibility" for clarification) Non-Federal Public and non-profit entities</t>
  </si>
  <si>
    <t>Walla Walla DistrictThis announcement represents an opportunity to enter into a cooperative agreement with an organization for outdoor education and training while accomplishing maintenance on public lands consisting of park maintenance, vegetation management, prescribed burns, landscaping, and similar services. The U.S. Army Corps of Engineers (USACE) is seeking organizations that offer challenging education and job-training experience that helps young adults develop the skills they need to lead full and productive lives and offer opportunity for aid with formal post high school education. Statutory Authority: Water Resources Development Act of 2000, Title 33, Part 2339, Section 213(a), Public Law 106-106-541, 114 Stat. 2593 (codified as amended at 33 U.S.C. Â§ 2339).</t>
  </si>
  <si>
    <t>Modeling Acoustic Fields Using OpenFOAM to Determine Navigation Impacts</t>
  </si>
  <si>
    <t>DOD-COE-ERDC</t>
  </si>
  <si>
    <t>Engineer Research and Development Center</t>
  </si>
  <si>
    <t>Others (see text field entitled "Additional Information on Eligibility" for clarification) This opportunity is restricted to non-federal partners of the Pacific Northwest Cooperative Ecosystems Studies Unit (CESU).</t>
  </si>
  <si>
    <t>This project will involve close collaboration with the successful offeror and the U.S. Army Corps of Engineers (USACE), Engineer Research and Development Center (ERDC). This project will involve adding the navigation attributes to acoustic fields and potentially electric fields within the OpenFOAM framework, while still computing hydraulic variables. The resulting data set will include a sound field, a flow field, various navigation attributes that are found to impact either the acoustic and/or flow fields, and electrical field as appropriate. A field site with supporting geometry, acoustic data, lock operations data, navigation data, and AIS data will be provided by the USACE. The successful offeror will be responsible for processing ambient and intentional (that is the acoustic deterrent) acoustic and hydrological data as appropriate. Operations, navigation, and AIS data will be processed by USACE, which would include the removal/recoding of vessel identifications.</t>
  </si>
  <si>
    <t>Request for Information: U.S Domestic Wind Turbine Blade Manufacturing Innovation</t>
  </si>
  <si>
    <t>The purpose of this RFI is to solicit feedback from industry, academia, research laboratories, government agencies, and other stakeholders on issues related to U.S domestic wind turbine blade manufacturing. EERE is specifically interested in information on current domestic blade manufacturing challenges, future domestic blade manufacturing needs, workforce, and stakeholder strategy development. This is solely a request for information and not a Funding Opportunity Announcement (FOA). EERE is not accepting applications._x000D_
_x000D_
This is an RFI only. DOE will not pay for information provided under this RFI and no project will be supported as a result of this RFI. This RFI is not accepting applications for financial assistance or financial incentives. DOE may or may not issue a Funding Opportunity Announcement (FOA) based on consideration of the input received from this RFI._x000D_
_x000D_
Responses to this RFI must be submitted electronically to WindEnergyRFI@ee.doe.gov no later than 5:00pm (ET) on 7/30/2024. Responses must be provided as attachments to an email._x000D_
_x000D_
To view the entire RFI document, visit the EERE Exchange Website at https://eere-exchange.energy.gov</t>
  </si>
  <si>
    <t>OVW Fiscal Year 2024 Expanding Sexual Assault Victim Services on Campus Pilot Program</t>
  </si>
  <si>
    <t>Public and State controlled institutions of higher education (1) Institutions of higher education located in the Gulf Coast Region: Texas, Louisiana, Mississippi, Alabama, and Florida, with expertise in providing holistic sexual assault services on campus, including campus-based sexual assault nurse examiner programs, campus-based multi-disciplinary sexual assault response teams, affiliation agreements with acute care hospital-based sexual assault programs and community-based sexual assault victim service providers, and evidence and simulation-based training and education to multidisciplinary team members; OR (2) Other institutions of higher education with a demonstrated history of providing victim services and advocacy and coordination with agencies to support criminal justice investigation and response.</t>
  </si>
  <si>
    <t>This program is authorized by the Consolidated Appropriations Act, 2023, Pub. L. No. 117-328. 
The Expanding Sexual Assault Victim Services on Campus Pilot Program (hereafter referred to as Campus Victim Services Pilot) supports institutions of higher education to improve victim services on campus by expanding access to holistic sexual assault services on college campuses and creating a promising practice guide for higher education institutions that wish to expand their sexual assault services and advocacy. Campus sexual assault victim services need to be survivor-centered, comprehensive, culturally relevant, flexible, and accessible for all survivors of sexual assault. Therefore, collaborative relationships between campus and community-based victim service providers are critical to ensure accessibility to services.</t>
  </si>
  <si>
    <t>Using Archived Data and Specimen Collections to Advance Maternal and Pediatric HIV/AIDS Research (R21 - Clinical Trial Not Allowed)</t>
  </si>
  <si>
    <t>The purpose of this Notice of Funding Opportunity (NOFO) is to address the needs of the maternal and pediatric HIV scientific community for research data translation and sharing. This initiative will support secondary data analyses using archived HIV/AIDS data and specimens to generate new research questions and findings relevant to the scientific mission and priorities of the NICHD, Maternal and Pediatric Infectious Disease Branch (MPIDB) and Office of AIDS Research (OAR). The goal of this initiative is to encourage applicants to leverage existing datasets and employ new and advanced analysis techniques to answer scientific questions about the epidemiology, pathogenesis, treatment, clinical manifestations and complications of HIV/AIDS in maternal, pediatric and adolescent populations.</t>
  </si>
  <si>
    <t>FY2024 Competitive Personal Responsibility Education Program</t>
  </si>
  <si>
    <t>HHS-ACF-FYSB</t>
  </si>
  <si>
    <t>Administration for Children &amp; Families - ACYF/FYSB</t>
  </si>
  <si>
    <t>Small businesses Eligible applicants are limited to local organizations and entities or consortia, with the capacity to develop and implement Competitive PREP projects in in states and territories that do not accept FY2024 allocations for State PREP.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</si>
  <si>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Administration for Children and Families, Administration on Children, Youth and Families' Family and Youth Services Bureau will be accepting applications from eligible local organizations and entities, including faith-based organizations or consortia, for the development and implementation of the Personal Responsibility Education Program (PREP) in states that do not accept FY2024 allocations for State PREP. The purpose of this program is to support projects that educate youth, between the ages of 10 and 19 years, and pregnant and parenting youth under age 21, on abstinence and contraception for the prevention of pregnancy, sexually transmitted infections, and HIV/AIDS. Projects are also required to implement at least three of the following six adulthood preparation subjects: healthy relationships, adolescent development, financial literacy, parent-child communication, educational and career success, and healthy life skills. The estimated award amount is based upon FY 2023 funding available for Competitive PREP awards and is subject to change.</t>
  </si>
  <si>
    <t>FY 2024 SNAP Fraud Framework Implementation Grant</t>
  </si>
  <si>
    <t>State governments This grant opportunity is only open to State agencies that administer SNAP, consistent with the SNAP regulatory definition of  State agency  at 7 CFR 271.2. For State agencies that are county-administered, a county agency that submits an application must include a letter of commitment or letter of endorsement from the relevant SNAP agency with the application package to be considered for funding. States that are county-administered include: California, Colorado, Minnesota, New Jersey, New York, North Carolina, North Dakota, Ohio, Virginia, and Wisconsin. FNS will consider only one application per State agency.</t>
  </si>
  <si>
    <t>The purpose of the SNAP Fraud Framework Implementation Grant Program is to support State agency efforts to improve and expand recipient fraud prevention, detection, and investigation efforts using the procedures, ideas and practices outlined in the SNAP Fraud Framework.Organizational Management: This objective aims to help States establish and communicate priorities, organize employees, and manage both large-scale and day-to-day processes. Many of the concepts described in this component are the foundation for successful program integrity initiatives.Performance Measurement: This objective offers recommendations encouraging States to consistently capture and analyze their own performance.Recipient Integrity Education: This objective provides targeted integrity education initiatives to help ensure recipients have the necessary information and tools to use SNAP benefits as intendedâ€”preventing fraud before it occurs. When producing recipient integrity education materials, States are encouraged to educate the public and applicants about SNAP fraud, rather than emphasize the consequences as a deterrent to applying.Fraud Detection: Here, the SNAP Fraud Framework stresses the importance of proactively detecting fraud from the application process and continuing throughout the recipientâ€™s time in the Program.Investigations and Dispositions: This objective aims to provide states with tools and suggestions to improve fraud case management from initial fraud referral through disposition.Analytics and Data Management: This objective details the necessary people, processes, and technology to launch and maintain an analytics capability. Data analytics can play a valuable role in preventing, detecting, and investigating SNAP fraud.Learning and Development: The final objective contains recommendations for States to invest in training and professional development opportunities to promote employee engagement and to ensure employees are aware of new and emerging trends in fraud.Please read the entire request for applications (RFA) for additional information.</t>
  </si>
  <si>
    <t>BJA FY24 Veterans Treatment Court Discretionary Grant Program</t>
  </si>
  <si>
    <t>Native American tribal governments (Federally recognized) Public or private entities acting on behalf of a single treatment court through agreement with state, city, township, county, or tribal governments; Units of local government, such as towns, boroughs, parishes, villages, or other general purpose political subdivisions of a state; State agencies such as the State Administering Agency, the Administrative Office of the Courts, and the State Substance Abuse Agency; State criminal justice agencies and other state agencies involved with the provision of substance use and/or mental health services, or related services for court and related criminal justice programming.</t>
  </si>
  <si>
    <t>With this solicitation, BJA seeks to provide financial and technical assistance to states, state courts, local courts, units of local government, and federally recognized Indian tribal governments to plan, implement, and enhance the operations of VTCs including service coordination, participant service and supervision coordination, fidelity to the VTC model, and recovery support services. VTCs effectively integrate evidence-based substance use disorder (SUD) treatment, mental health disorder (MHD) treatment, treatment for co-occurring disorders, mandatory drug testing, incentives and sanctions, and transitional services in judicially supervised criminal court settings that have jurisdiction over veterans with treatment needs in order to reduce recidivism, increase access to treatment and recovery support, and prevent overdose.</t>
  </si>
  <si>
    <t>National Science Foundation Research Traineeship  Institutional Partnership Pilot (NRT-IPP) Program</t>
  </si>
  <si>
    <t>NSF</t>
  </si>
  <si>
    <t>National Science Foundation</t>
  </si>
  <si>
    <t>Others (see text field entitled "Additional Information on Eligibility" for clarification) *Who May Submit Proposals: Proposals may only be submitted by the following:
  -
Proposals submitted in response to this solicitation must represent a partnership among: (a) a non-R1 Institution of Higher Education (IHE) (lead institution), (b) a non-lead IHE (an R1 or non-R1) that has either an ongoing or completed NRT program in at least one of the focus areas defined for this pilot (see below), and (c) two to three industry partners in the same focus area(s). For R1 and non-R1 IHE classifications, please refer to Carnegie Basic Classifications:  a href= . The NRT project at the participating non-lead IHE partner must have successfully completed at least three years of work, as demonstrated by three approved annual project reports at the time of proposal submission. The lead institution should not have an existing master s degree in the chosen focus area(s). Investigators from a lead institution that has an existing graduate certificate, a track within an existing master s program that is broader than or distinct from the chosen focus area(s), or a Ph.D. program in one or more of the chosen focus areas are encouraged to contact the Program Officers to inquire about eligibility.
*Who May Serve as PI:
The PI must hold a tenured faculty appointment at the Associate/Full Professor rank or equivalent at an eligible non-R1 organization.</t>
  </si>
  <si>
    <t>The NSF Research Traineeship (NRT) Program seeks proposals that explore ways for graduate students in research-based master s and doctoral degree programs to develop the skills, knowledge, and competencies needed to pursue a range of science, technology, engineering, and mathematics (STEM) careers. This solicitation describes a pilot for a potential new track for the existingNRT Programthat will support research and education projects that will result in a new master s degree, certificate, or a track within an existing master s or Ph.D. program with high industry relevance in at least one focus area identified in this pilot. This will be accomplished through an effective partnership among: (a) a non-R1 Institution of Higher Education (IHE) (lead institution), (b) an non-lead IHE (an R1 or non-R1) that has either an ongoing or completed NRT program in at least one of the focus areas defined for this pilot (see below), and (c) two to three industry partners in the same focus area(s). The overall purpose is to train the STEM workforce in focus areas specified in this solicitation by stimulating collaborations among non-R1 institutions, institutions with existing or completed NRT projects, and industry partners.</t>
  </si>
  <si>
    <t>DRL Strengthening the Rights of Migrant Domestic Workers in Malaysia</t>
  </si>
  <si>
    <t>Others (see text field entitled "Additional Information on Eligibility" for clarification) DRL welcomes applications from U.S.-based and foreign-based non-profit organizations/nongovernmental organizations (NGO) and public international organizations; private, public, or state institutions of higher education; and for-profit organizations or businesses.  DRL s preference is to work with non-profit entities; however, there may be some occasions when a for-profit entity is best suited.</t>
  </si>
  <si>
    <t>The U.S. Department of State, Bureau of Democracy, Human Rights, and Labor (DRL) announces an open competition for organizations interested in strengthening the labor rights, protections, and conditions of decent work for migrant domestic workers in Malaysia.</t>
  </si>
  <si>
    <t>OVC FY24 Tribal Victim Services Set-Aside Formula Program - Invited to Apply</t>
  </si>
  <si>
    <t>Others (see text field entitled "Additional Information on Eligibility" for clarification) Under this program, OVC allocates funding to participating Tribes through a discretionary administrative formula based on the Population Certifications submitted by federally recognized Indian Tribes, Alaska Native Claims Settlement Act (ANCSA) Regional Corporations, and designees. Eligible applicants are entities that submitted Population Certifications by February 20, 2024, and have been notified by OVC of their formula allocation.  To confirm your eligibility to apply under this solicitation or to confirm your FY 2024 formula allocation, see the funding table posted at https://ovc.ojp.gov/funding/fy24-tvssa-formula-allocations.pdf.  All recipients and subrecipients (including any for-profit organization) must forgo any profit or management fee.</t>
  </si>
  <si>
    <t>The U.S. Department of Justice (DOJ), Office of Justice Programs (OJP), Office for Victims of Crime (OVC) is seeking applications for funding.OJP is committed to advancing work that promotes civil rights and equity, increases access to justice, supports crime victims and individuals impacted by the justice system, strengthens community safety, protects the public from crime and evolving threats, and builds trust between law enforcement and the community.With this solicitation, OVC seeks applications for funding for the Fiscal Year (FY) 2024 Tribal Victim Services Set-Aside (TVSSA) Formula Grant Program. This program furthers the DOJâ€™s mission by supporting the provision of victim services in American Indian/Alaska Native communities.This program furthers the DOJâ€™s mission to uphold the rule of law, to keep our country safe, and to protect civil rights.</t>
  </si>
  <si>
    <t>FY24 COPS Anti-Methamphetamine Program</t>
  </si>
  <si>
    <t>State governments Eligible applicants are state law enforcement agencies authorized by law or by a state agency to engage in or to supervise anti-methamphetamine investigative activities. See additional eligibility details under Eligibility section of this solicitation.</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</si>
  <si>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has been appropriated more than $20 billion to advance community policing, including grants awarded to more than 13,000 state, local and tribal law enforcement agencies to fund the hiring and redeployment of more than 136,000 officers. COPS Office information resources, covering a wide range of community policing topics such as school and campus safety, violent crime, and officer safety and wellness, can be downloaded via the COPS Officeâ€™s home page, https://cops.usdoj.gov. 
The COPS Anti-Methamphetamine Program (CAMP) advances public safety by making competitive grants to State law enforcement agencies in states with high seizures of precursor chemicals, finished methamphetamine, laboratories, and laboratory dump seizures for the purpose of locating or investigating illicit activities, such as precursor diversion, laboratories, or methamphetamine traffickers. 
The COPS Office is committed to advancing work that promotes civil rights and equity, increases access to justice, supports crime victims and individuals impacted by the justice system, strengthens community safety and protects the public from crime and evolving threats, and build trust between law enforcement and the community.</t>
  </si>
  <si>
    <t>NEA Our Town, FY 2025</t>
  </si>
  <si>
    <t>NEA</t>
  </si>
  <si>
    <t>National Endowment for the Arts</t>
  </si>
  <si>
    <t xml:space="preserve">Private institutions of higher education </t>
  </si>
  <si>
    <t>Our Town is the National Endowment for the Artsâ€™ creative placemaking grants program. Through project-based funding, we support projects that integrate arts, culture, and design activities into efforts that strengthen communities over the long term._x000D_
_x000D_
Successful Our Town projects demonstrate a specific role for arts, culture, and design as part of strategies for strengthening local communities, ultimately centering equity and laying the groundwork for long-term systems change tailored to community needs and opportunities. All applications are submitted by one organization and require one partner organization. The applicant/partner pair must include 1) a nonprofit organization and 2) a local government or quasi-government entity. _x000D_
_x000D_
Cost share/matching grants range from $25,000 to $150,000, with a minimum cost share/match equal to the grant amount._x000D_
_x000D_
The Arts Endowmentâ€™s support of a project may start on July 1, 2025, or any time thereafter. A grant period of up to two years is allowed.</t>
  </si>
  <si>
    <t>General Departmental Sexual Risk Avoidance Education (GDSRAE)</t>
  </si>
  <si>
    <t>County governments Eligibility is unrestricted except as noted in this section.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</si>
  <si>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Administration for Children and Families, Administration on Children, Youth and Families' Family and Youth Services Bureau announces the anticipated availability of funds under the General Departmental Sexual Risk Avoidance Education (GDSRAE) Program. The purpose of the GDSRAE Program is to fund projects to implement sexual risk avoidance education that teach participants how to voluntarily refrain from non-marital sexual activity. The services are targeted to participants that reside in areas with high rates of teen births and/or are at greatest risk of contracting sexually transmitted infections (STIs). The goals of GDSRAE are to empower participants to make healthy decisions, and provide tools and resources to prevent pregnancy, STIs, and youth engagement in other risky behaviors.  Successful applicants are expected to submit program plans that agree to: use medically accurate information referenced to peer-reviewed publications by 1) educational, scientific, governmental, or health organizations; 2) implement sexual risk avoidance curricula and/or strategies with an evidence-based approach integrating research findings with practical implementation that aligns with the needs and desired outcomes for the intended audience; and 3) teach the benefits associated with self-regulation, success sequencing for poverty prevention, healthy relationships, goal setting, and resisting sexual coercion, dating violence, and other youth risk behaviors such as underage drinking or illicit drug use without normalizing teen sexual activity.</t>
  </si>
  <si>
    <t>FY24 COPS Anti-Heroin Task Force Program</t>
  </si>
  <si>
    <t>Others (see text field entitled "Additional Information on Eligibility" for clarification) Eligible applicants are state law enforcement agencies with primary authority over state seizures of heroin and other opioids. See additional eligibility details under Eligibility section of this solicitation.</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</si>
  <si>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has been appropriated more than $20 billion to advance community policing, including grants awarded to more than 13,000 state, local and tribal law enforcement agencies to fund the hiring and redeployment of more than 136,000 officers. COPS Office information resources, covering a wide range of community policing topics such as school and campus safety, violent crime, and officer safety and wellness, can be downloaded via the COPS Officeâ€™s home page, https://cops.usdoj.gov. 
The COPS Office AHTF program advances public safety by making competitive grants to State law enforcement agencies in States with high per capita rates of primary treatment admissions, for the purpose of locating or investigating illicit activities, through Statewide collaboration, relating to the distribution of heroin, fentanyl, or carfentanil, or relating to the unlawful distribution of prescription opioids. 
The COPS Office is committed to advancing work that promotes civil rights and equity, increases access to justice, supports crime victims and individuals impacted by the justice system, strengthens community safety and protects the public from crime and evolving threats, and build trust between law enforcement and the community.</t>
  </si>
  <si>
    <t>Implementing Alternatives to Incarceration in Morocco</t>
  </si>
  <si>
    <t>Nonprofits having a 501(c)(3) status with the IRS, other than institutions of higher education The following organizations are eligible to apply:_x000D_
  U.S.-based non-profit/non-governmental organizations (NGOs);_x000D_
  U.S.-based educational institutions subject to section 501(c)(3) of the U.S. tax code;_x000D_
  Foreign-based non-profits/non-governmental organizations (NGOs);_x000D_
  Foreign-based educational institutions_x000D_
_x000D_
Applicants must also meet the following requirements to be eligible to apply to this NOFO:_x000D_
  Applicants must demonstrate business registration in the Kingdom of Morocco.</t>
  </si>
  <si>
    <t>INL seeks to assist the Kingdom of Morocco, through its Ministry of Justice (MOJ) and General Delegation for Prison Administration and Rehabilitation (DGAPR) in implementing a community corrections/ATI system. Moroccan prisons are regularly overcrowded, due largely to the lack of probation and parole options available to the accused. Those that are available under Moroccan law are rarely implemented. According to some reports, approximately 40% of all detainees in Morocco are held in pretrial detention. INL seeks to address overcrowding and pretrial detention rates by assisting the DGAPR and MOJ in developing a streamlined and effective ATI/community corrections regime within the framework of Moroccoâ€™s draft ATI law (if implemented). Additionally, the MOJ is actively working on developing a drug diversion program for non-violent offenders, and INL welcomes proposals that include rehabilitation and diversion programs in their work. Implementation of an effective community corrections program that utilizes ATI will improve the capacity of the justice and corrections sectors to provide equitable and efficient access to justice throughout the country. Though Moroccoâ€™s draft ATI law is expected to be passed in the near future, successful proposals will be designed to not be wholly contingent on the ATI law being passed into law.</t>
  </si>
  <si>
    <t>Building Capacity of Nigerian Law Enforcement Explosive Ordinance Management</t>
  </si>
  <si>
    <t>Public and State controlled institutions of higher education The following organizations are eligible to apply: 	U.S.-based non-profit/non-governmental organizations (NGOs); 	U.S.-based educational institutions subject to section 501(c)(3) of the U.S. tax code or section 26 US 115 of the US 115 of the U.S. tax code; 	Foreign-based non-profits/non-governmental organizations (NGOs);Applicants must also meet the following requirements to be eligible to apply to this NOFO: 	Demonstrated previous experience on multiple projects working with Explosive Ordnance Disposal in a law enforcement and/or military context.</t>
  </si>
  <si>
    <t>As the largest economy in Africa, the most populous country on the continent, and an influential political and diplomatic leader in the region, Nigeria is a strategic U.S. partner. The country faces numerous challenges related to terrorism (Boko Haram, Islamic State-West Africa), and transnational organized crime (TOC), including narcotics and human trafficking, corruption, and under-developed criminal justice institutions to meet the needs of a population of 250 million citizens. These conflicts include insurgencies by militant groups in the Niger Delta, the ISIS insurgency in the North-East and Middle Belt, and kidnapping and bandit gangs in the North West and Middle Belt. The Northeast region of Nigeria is currently grappling with significant security challenges, including due to terrorism by ISIS and other groups, and the remnants of unexploded ordnance from the long-standing conflicts. Since 2016, over 2,000 civilians have been affected by these explosive remnants, placing Nigeria among countries with the highest rates of improvised explosive device (IED) incidents globally. Moreover, the Southeast region of Nigeria, still bearing the scars of the Nigerian Civil War (1967-1970), faces the risk of separatist groups potentially utilizing old explosives. Criminal groups also use incendiary devices and other explosives in violent attacks against civilians and government authorities. To combat these challenges, the Nigeria Police Force (NPF), with its specialized 1,800-member Explosive Ordnance Disposal and Chemical, Biological, Radiological, and Nuclear Defense (EOD-CBRN) command, along with the Nigeria Security and Civil Defense Corps (NSCDC)'s 200-member EOD team, are among authorities responsible for ordnance clearance and responding to civilian reports of explosive threats. These units, however, are hindered by several factors, including insufficient ordnance storage infrastructure, standardized training to international standards, and equipment. Problems like improper storage of recovered IEDs and unexploded ordnances (UXOs), non-adherence to international standards, and a gap in expertise due to the retirement of seasoned personnel diminish their operational efficiency. These limitations affect not only the immediate response to explosive threats but also the broader recovery and stabilization efforts in Nigeria.</t>
  </si>
  <si>
    <t>Sustainment for Counterterrorism Law Enforcement Units in Somalia</t>
  </si>
  <si>
    <t>Others (see text field entitled "Additional Information on Eligibility" for clarification) Eligible Applicants
The following organizations are eligible to apply:  
 	Not-for-profit organizations, including think tanks and civil society/non-governmental organizations 
 	Public and private educational institutions 
 	For-profit organizations (only if allowed by appropriation) 
 	Public International Organizations (PIOs) and Governmental institutions</t>
  </si>
  <si>
    <t>This program is intended to serve to sustain the operational capability of the Somalia Police Force (SPF) counterterrorism units that have received training, equipping, and mentoring using CT funds.  Program objectives are separated into three parts. 
1)	Continued training and mentoring to the SPF Forensic Science Lab (FSL). 
The selected implementer will be asked to deploy certified latent print and digital evidence subject matter experts to continue to work with FSL as it supports evidence-based counterterrorism investigations in Mogadishu.
1)	Sustain logistical support to CT-funded SPF units 
This includes equipment maintenance and vehicle maintenance, consumables (including fuel, lab chemicals, and reagents, computer software licenses and updates, enabler capabilities including electronic countermeasures (ECM) system maintenance and support, and ammunition). This also includes tracking and monitoring Leahy vetting, collating stipend spreadsheets for pay out by a separate implementer, and, 
1)	Provide continued monitoring, evaluation, and oversight of weapons and ammunition as required by law.
This involves monthly or quarterly (to be determined later) equipment verifications and reporting. This also includes managing a secure storage space and logging controlled items checked into and out of implementer â€œcustodyâ€. (Using the allocated budget, the selected implementer will be expected to maintain this or another storage space build to the same international standards. The estimated cost for this space is $7-10,000/month.</t>
  </si>
  <si>
    <t>Notice of Intent to Issue Funding Opportunity Announcement (FOA) number DE-FOA-0003344 entitled SuperTruck Charge</t>
  </si>
  <si>
    <t>Notice of Intent to Issue Funding Opportunity Announcement (FOA) number DE-FOA-0003344 entitled SuperTruck Charge. The Notice of Intent to Issue is for informational purposes only; the Department of Energy is not seeking comments on the information in this notice and applications are not being accepted at this time. Any information contained in this notice is subject to change. This anticipated FOA will advance goals to decarbonize transportation and seek research, development, demonstration, and deployment of concepts for delivering high power charging, load management, and delivery of grid services that alleviate grid capacity challenges at a large-scale charging installation for medium duty and heavy-duty (MD/HD) trucks through optimal design of charging infrastructure and operations, critical to achieving net-zero greenhouse gas emissions by 2050.</t>
  </si>
  <si>
    <t>Office of Elementary and Secondary Education (OESE): Well Rounded Education: Comprehensive Literacy State Development (CLSD) program, Assistance Listing Number 84.371C</t>
  </si>
  <si>
    <t>Others (see text field entitled "Additional Information on Eligibility" for clarification) 1.  Eligible Applicants:  SEAs of the 50 States, the District of Columbia, and Puerto Rico (also referred to in this notice as States).</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</si>
  <si>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CLSD program awards competitive grants to advance literacy skills through the use of evidence-based (as defined in this notice) practices, activities, and interventions, including pre-literacy skills, reading, and writing, for children from birth through grade 12, with an emphasis on disadvantaged children, including children living in poverty, English learners (as defined in this notice), and children with disabilities (as defined in this notice).  
Assistance Listing Number (ALN) 84.371C.</t>
  </si>
  <si>
    <t>Cystic Fibrosis Research and Translation Centers (P30 Clinical Trial Optional)</t>
  </si>
  <si>
    <t>Independent school districts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
Non-domestic (non-U.S.) components of U.S. Organizations are not eligible to apply.
Foreign components, as defined in the NIH Grants Policy Statement, are not allowed.</t>
  </si>
  <si>
    <t>This Notice of Funding Opportunity (NOFO) invites applications for Cystic Fibrosis (CF) Research and Translation Core Centers. CF Research and Translation Core Centers are designed to support both basic and clinical research on Cystic Fibrosis. CF Research and Translation Core Centers support three primary research-related activities: Research Core services; a Pilot and Feasibility program; and an Administrative Core with an enrichment program. Core Centers provide shared resources to support research to develop and test new therapies for CF and to foster collaborations among institutions with a strong existing research base in CF. The NIDDK currently supports seven CF Research and Translation Centers located at institutions with documented programs of research excellence in basic and clinical CF Research. Information about the currently funded CF Research and Translation Centers may be found at:
https://www.niddk.nih.gov/research-funding/research-programs/cystic-fibrosis-research-translation-centers or https://www.cysticfibrosiscenters.org/.</t>
  </si>
  <si>
    <t>Strengthening Civic Engagement in Kazakhstan</t>
  </si>
  <si>
    <t>USAID-KAZ</t>
  </si>
  <si>
    <t>Kazakhstan USAID-Almaty</t>
  </si>
  <si>
    <t>The United States Agency for International Development (USAID) is seeking applications for a Cooperative Agreement from qualified entities to implement the Strengthening Civic Engagement in Kazakhstan. Eligibility for this award is not restricted.USAID intends to make an award to the applicant(s) who best meets the objectives of this funding opportunity based on the merit review criteria described in the Notice of Funding Opportunity No. 72011524RFA00006 (NOFO) subject to a risk assessment. Eligible parties interested in submitting an application are encouraged to read the NOFO thoroughly to understand the type of program sought, application submission requirements and selection process.Issuance of this notice of funding opportunity does not constitute an award commitment on the part of the Government nor does it commit the Government to pay for any costs incurred in preparation or submission of comments/suggestions or an application. Applications are submitted at the risk of the applicant. All preparation and submission costs are at the applicantâ€™s expense.Please see the attached Notice of Funding Opportunity No. 72011524RFA00006 for more information.</t>
  </si>
  <si>
    <t>Promoting Human Rights in Armenia</t>
  </si>
  <si>
    <t>USAID-ARM</t>
  </si>
  <si>
    <t>Armenia USAID-Yerevan</t>
  </si>
  <si>
    <t xml:space="preserve">Ladies/Gentlemen: 
The United States Agency for International Development (USAID) is seeking applications for a cooperative agreement from qualified entities to implement the â€œPromoting Human Rights in Armeniaâ€ Activity. Eligibility for this award is not restricted; both qualified U.S. and non-US organizations are eligible to apply.  
USAID intends to make one award to the applicant who best meets the objectives of this funding opportunity based on the merit review criteria described in this NOFO subject to a risk assessment. Eligible parties interested in submitting an application are encouraged to read this NOFO thoroughly to understand the type of program sought, application submission requirements and selection process. Subject to the availability of funds, the total estimated amount for this five-year activity is $10,000,000. 
To be eligible for the award, the applicant must provide all information as required in this NOFO and meet eligibility standards in Section C of this NOFO. This funding opportunity is posted on www.grants.gov, and may be amended. It is the responsibility of the applicant to regularly check the website to ensure they have the latest information pertaining to this notice of funding opportunity and to ensure that the NOFO has been received from the internet in its entirety. USAID bears no responsibility for data errors resulting from transmission or conversion process. If you have difficulty registering on www.grants.gov or accessing the NOFO, please contact the Grants.gov Helpdesk at 1-800-518-4726 or via email at support@grants.gov for technical assistance. 
USAID will not make an award to an applicant unless the applicant has complied with all applicable unique entity identifier and System for Award Management (SAM) requirements detailed in Section D. 6. (g) The registration process may take many weeks to complete. Therefore, applicants are encouraged to begin registration early in the process. 
Please send any questions to the points of contact identified in Section D. The deadline for questions is shown above. Responses to questions received prior to the deadline will be furnished to all potential applicants through an amendment to this notice posted to www.grants.gov. USAID currently anticipates doing only one round of Q A. However, interested applicants should feel free to submit additional questions to USAIDâ€™s POCs listed in Section D. If additional questions are received after amendment 1 is issued that merit answering, USAID may decide to do a second round of Q A and issue a second amendment to this NOFO. 
Issuance of this notice of funding opportunity does not constitute an award commitment on the part of the Government nor does it commit the Government to pay for any costs incurred in preparation or submission of comments/suggestions or an application. Applications are submitted at the risk of the applicant. All preparation and submission costs are at the applicantâ€™s expense. 
</t>
  </si>
  <si>
    <t>BJA FY24 Invited to Apply- Byrne Discretionary Community Project Grants/Byrne Discretionary Grants Program</t>
  </si>
  <si>
    <t>Others (see text field entitled "Additional Information on Eligibility" for clarification) BJA sent an invitation to apply to all eligible recipients, which are limited to those identified in the Congressional Joint Explanatory Statement (JES) for the projects designated for funding in the Consolidated Appropriations Act, 2024..</t>
  </si>
  <si>
    <t>The U.S. Department of Justice (DOJ), Office of Justice Programs (OJP), Bureau of Justice Assistance (BJA) is seeking applications for funding from applicants invited to apply. 
OJP is committed to advancing work that promotes civil rights and equity, increases access to justice, supports crime victims and individuals impacted by the justice system, strengthens community safety, protects the public from crime and evolving threats, and builds trust between law enforcement and the community.
With this solicitation, BJA seeks to support projects designated for funding in the Consolidated Appropriations Act, 2024 (Public Law 118-42) to improve the functioning of the criminal justice system, to prevent or combat juvenile delinquency, and to assist victims of crime (other than compensation).
This program furthers the DOJâ€™s mission to uphold the rule of law, to keep our country safe, and to protect civil rights.</t>
  </si>
  <si>
    <t>2024 Academy of Women Entrepreneurs Program in Consular District Hyderabad</t>
  </si>
  <si>
    <t>DOS-IND</t>
  </si>
  <si>
    <t>U.S. Mission to India</t>
  </si>
  <si>
    <t>Nonprofits having a 501(c)(3) status with the IRS, other than institutions of higher education  	Not-for-profit organizations 	Civil society/non-governmental organizations  	Think tanks  	Public and private educational institutions</t>
  </si>
  <si>
    <t>A key pillar of U.S. strategy in India is to strengthen Indiaâ€™s innovation and entrepreneurship eco-system while also advancing the role of women in the economy and the workforce. Building on the success of our Academy of Women Entrepreneurs (AWE) 2023 program, U.S. Consulate General Hyderabad proposes in 2024 to create an AWE program of 60 total participants for an intensive, four month, â€œworkshopâ€ style training and mentorship program. Our AWE program will provide training in basic business principles using the established Academy of Women Entrepreneurs/DreamBuilder curriculum. Building on the DreamBuilder framework, we seek to add value for participants by including extensive USG alumni engagement, including the participation of distinguished alumni as speakers and as informal mentors to all participants. Hyderabadâ€™s AWE program will again also tap into existing U.S. government-funded resources to provide additional value to participants, including the use of our American Corners for in-person event locations and the use of a specialist to help participants hone their business communications and presentation skills. For 2024, priority for participation will be given to underrepresented groups, including Muslim women.</t>
  </si>
  <si>
    <t>Cooperative Agreement for CESU-affiliated Partner with Colorado Plateau Cooperative Ecosystem Studies Unit</t>
  </si>
  <si>
    <t>Others (see text field entitled "Additional Information on Eligibility" for clarification) This financial assistance opportunity is being issued under a Cooperative Ecosystem Studies Unit (CESU) Program.  CESU s are partnerships that provide research, technical assistance, and education. Eligible recipients must be a participating partner of the Colorado Plateau Cooperative Ecosystem Studies Unit (CESU) Program.</t>
  </si>
  <si>
    <t>The US Geological Survey is offering a funding opportunity to a CESU partner for research on pollinators of northern Arizona throughout semi-arid grasslands that are utilized by bison. This research will be primarily comprised of field-based data collection prior to analyses of quantified biological data. The goal of this research is to examine pollinator communities, resources, and habitat quality in relation to areas of varying bison densities. Previous grazing exclusion experiments in this ecosystem revealed grazing-induced ecological changes that lead to altered grassland structure (i.e., plant species composition) and function (i.e., plant production, nutrient dynamics) (Musto 2023). However, no information has been collected on whether (and how) bison-induced changes to plant communities may affect the pollinator communities that utilize flowing plants as food resources and habitat.</t>
  </si>
  <si>
    <t>Cooperative Agreement for CESU-affiliated Partner with Desert Southwest Cooperative Ecosystem Studies Unit</t>
  </si>
  <si>
    <t>Others (see text field entitled "Additional Information on Eligibility" for clarification) This financial assistance opportunity is being issued under a Cooperative Ecosystem Studies Unit (CESU) Program.  CESU s are partnerships that provide research, technical assistance, and education. Eligible recipients must be a participating partner of the Desert Southwest Cooperative Ecosystem Studies Unit (CESU) Program.</t>
  </si>
  <si>
    <t>The US Geological Survey is offering a funding opportunity to a CESU partner for research on wild horse population demography and ecology throughout the Western USA. This research will be comprised of a combination of field-based data collection and research, and data analyses through modelling techniques. The National Academies of Science (NAS) conducted a science review of the Bureau of Land Management (BLM) wild horse and burro program in 2013. An outcome of this NAS review was a number of recommendations for new research, identification of data gaps, and knowledge needs. The aim is to fill some of those data needs with collaborative research conducted jointly by USGS and CESU partner.</t>
  </si>
  <si>
    <t>2025 Low Income Taxpayer Clinic</t>
  </si>
  <si>
    <t>USDOT-LITC</t>
  </si>
  <si>
    <t xml:space="preserve">Low Income Taxpayer Clinic </t>
  </si>
  <si>
    <t>Provide representation, education and advocacy for low income and English as a second language taxpayer.</t>
  </si>
  <si>
    <t>Erie Pier Confined Disposal Facility (Duluth, MN)   Beneficial Reuse Placement Site Analysis</t>
  </si>
  <si>
    <t xml:space="preserve">Others (see text field entitled "Additional Information on Eligibility" for clarification) This opportunity is restricted to non-federal partners of the Great Lakes   Northern Forest Cooperative Ecosystems Studies Unit (CESU)._x000D_
_x000D_
Disclosures of current and pending support made in this application may render an applicant ineligible for funding. Prior to award and throughout the period of performance, ERDC may continue to request updated continuing and pending support information, which will be reviewed and may result in discontinuation of funding. _x000D_
_x000D_
Religious organizations are entitled to compete on equal footing with secular organizations for Federal financial assistance as described in E.O. 13798,  Promoting Free Speech and Religious Liberty. </t>
  </si>
  <si>
    <t>The objectives of the proposed research effort include: Monitor and report performance of dredged material placed at beneficial use sites, specifically mine land reclamation and landfill cover sites. Factors to be monitored include, but are not limited to:a. Ecosystem recovery and functionalityb. Water qualityc. Landscape stabilityd. Vegetation growth Successful applicants should have expert knowledge of confined disposal facilities and beneficial use of dredged material. The applicant should also have a record that demonstrates applied research and monitoring experience with both topics. The candidates should have prior experience with monitoring beneficial use sites. The candidates will be required to prepare a Statement of Work and Work Plan regarding the research to be conducted. The candidate will also be required to submit three (3) quarterly status reports and one (1) annual report each year of the contract to provide updates on the work being conducted.</t>
  </si>
  <si>
    <t>OJJDP FY24 Children s Advocacy Centers Membership and Accreditation Program</t>
  </si>
  <si>
    <t>With this solicitation, OJJDP seeks to fund a national membership and accreditation organization to support training and technical assistance and implementation of national standards for childrenâ€™s advocacy centers (CACs), which provide a coordinated response to victims of child abuse.</t>
  </si>
  <si>
    <t>Business Expansion Initiative for Women's Employment</t>
  </si>
  <si>
    <t>DOS-AFG</t>
  </si>
  <si>
    <t>U.S. Mission to Afghanistan</t>
  </si>
  <si>
    <t>Others (see text field entitled "Additional Information on Eligibility" for clarification) Eligibility is open to all types of applicants except for individuals. Please refer to Section D for funding restrictions. Organizations may sub-award/contract with other entities, but only one entity may be the prime recipient of the award. When sub-awarding/contracting with other entities, the responsibilities of each entity must be clearly defined in the proposal.</t>
  </si>
  <si>
    <t>The Public Diplomacy Section (PDS) of the U.S. Mission Afghanistan is pleased to announce an open competition for eligible organizations to submit applications to carry out a program to support the Business Expansion Initiative for Women's Employment. This initiative seeks to address the persistent gender gap in the Afghan workforce by empowering businesses to hire more women in sectors where they are permitted to work through strategic business expansion initiatives. The project aims to equip businesses with the necessary tools and support to embrace gender-inclusive practices, thereby creating more job opportunities for women and fostering economic growth. This initiative aims to support women in Afghanistan who face significant challenges and barriers to economic progress, including limited access to employment opportunities, capital, financial services, and education. It seeks to achieve the following objectives:Empowerment through Business Expansion: Supporting women to start and expand their own businesses, join other women-led enterprises, or acquire the skills necessary to participate in women-led enterprises.Gender-Inclusive Practices: Promoting gender-inclusive policies and practices within businesses to improve access to employment opportunities and financial resources for women.Economic Growth: Contributing to economic growth by maintaining the visibility of women in the workforce and economy and recognizing women's contributions to economic development.PDS seeks proposals for this initiative addressing one or more of the following areas to help womenâ€™s employment in Afghanistan:Training Programs for Businesses: Developing and implementing targeted training programs for businesses that commit to gender inclusive employment practices, focusing on areas such as inclusive leadership, diversity and inclusion practices, and gender-sensitive management.Mentorship, Apprenticeship, and Resource Support: Establishing structured mentorship and apprenticeship programs, providing business skills training, business expansion planning support, and offering resources such as toolkits and case studies.Acceleration and Expansion Planning Assistance: Offering tailored support to businesses in developing strategic expansion plans, including market analysis, financial modeling, business process analysis, human resources planning, and labor force development planning.Access to Capital: Facilitating access to capital for businesses that commit to gender inclusive employment practices, to include liaising with potential investors, entrepreneurs, collaborators, and industry partners, and providing networking opportunities with these resources for target businesses.Access to Markets: Facilitating relationships for businesses to access new domestic and international markets as they scale and grow.Awareness and Advocacy: Providing resources and training to business leaders that support them to start or continue efforts to advocate within their communities for gender-inclusive business practices.Community Engagement: Actively engaging with local communities to ensure that the benefits of business expansion are inclusive and contribute meaningfully to womenâ€™s labor force participation and community development.</t>
  </si>
  <si>
    <t>Creative Employment Solutions for Afghan Women</t>
  </si>
  <si>
    <t>The Public Diplomacy Section (PDS) of the U.S. Mission Afghanistan is pleased to announce an open competition for eligible organizations to submit applications to carry out a program to empower Afghan women to conduct home-based, remote, and other creative employment arrangements tailored to fit the unique circumstances in Afghanistan. This initiative seeks to address the challenges faced by Afghan women, particularly in accessing employment opportunities, by equipping them with the skills and resources needed for home-based, remote, and other creative employment arrangements.The program aims to accomplish the following:Empower Afghan women with skills and access to resources for home-based, remote work, and other creative employment arrangements.Reshape societal perceptions about women's participation in the workforce to foster an environment conducive to women making meaningful contributions to the local economy.Create sustainable pathways towards economic independence and progress for Afghan women.Activities will primarily take place in Afghanistan, focusing on areas heavily impacted by restrictions on women's rights, which has significantly impeded their access to employment opportunities. PDS seeks proposals for projects that should address at least one or more of the following areas:Career Readiness Workshops: Enhancing women's skills for home-based and remote employment through targeted training sessions to explain these models and coachwomen on setting up these types of work arrangements.Mentorship Programs: Providing ongoing support and guidance to women participating in the initiative by establishing mentorship relationships. Guiding participants through the job search, application, and interview process, and in their first months of employment.Placement and Matchmaking Services: Establishing relationships with remote or home-based work-friendly employers, raising awareness among such employers about the skills available to them through remote employment arrangements with Afghan women, facilitating engagement between program participants and employers through virtual career fairs or other opportunities, etc.On-the-Job Training Programs: Facilitating practical experience and skills building in the remote work sector through virtual internship or job training experiences.Advocacy and Awareness: Raising awareness among Afghan women about the opportunities of remote work arrangements and best practices in seeking and maintaining such employment.Strengthening Partnerships for Remote/Home-based Work Empowerment: Establishing collaborations with organizations specializing in remote and home-based work initiatives to enhance women's access to job opportunities in these environments, providing tailored resources and mentorship.This funding opportunity provides an overview of the project's objectives, activities, expected outcomes, and resource needs. It underscores our commitment to promoting gender equality and women's economic empowerment in Afghanistan. We encourage proposals that contribute to creating a more inclusive and equitable society by addressing the unique challenges faced by Afghan women in accessing employment opportunities.</t>
  </si>
  <si>
    <t>Fiscal Year 2024 Behavioral Health Service Expansion</t>
  </si>
  <si>
    <t>Others (see text field entitled "Additional Information on Eligibility" for clarification) You can apply if your organization is a Health Center Program award recipient6 with an active H80 grant award. We encourage health centers that do not currently provide behavioral health services to apply.</t>
  </si>
  <si>
    <t>This Notice of Funding Opportunity (NOFO) announces the opportunity to apply for funding under the fiscal year (FY) 2024 Behavioral Health Service Expansion (BHSE) program. BHSE will support health centers to increase access to behavioral health services through starting or expanding mental health and substance use disorder (SUD) services.</t>
  </si>
  <si>
    <t>OJJDP FY24 Child Abuse Training for Judicial and Court Personnel</t>
  </si>
  <si>
    <t>Others (see text field entitled "Additional Information on Eligibility" for clarification) Eligible applicants are limited to organizations that have broad membership among juvenile and family court judges and have demonstrated experience in providing TTA to judges, attorneys, child welfare personnel, and lay child advocates.</t>
  </si>
  <si>
    <t>With this solicitation, OJJDP seeks to improve the judicial systemâ€™s handling of child abuse and neglect cases by providing funding to support training and technical assistance (TTA) for judicial personnel and attorneys, particularly personnel and practitioners in juvenile and family courts, and by pursuing administrative reform in juvenile and family courts.</t>
  </si>
  <si>
    <t>OIT-STEP-2024-01</t>
  </si>
  <si>
    <t>SBA</t>
  </si>
  <si>
    <t>Small Business Administration</t>
  </si>
  <si>
    <t>Under 15 U.S.C. Â§ 649(l), the State Trade Expansion Program (STEP) authorizes the U.S. Small Business Administration (SBA) to make grants to States, and the equivalent thereof, to carry out projects that help develop exports by eligible small business concerns (ESBCs) (as defined in Section 8.1.5). The objective of STEP is to increase (1) the number of U.S. small businesses that export, (2) the dollar value of exports, and (3) the number of U.S. small businesses exploring significant new trade opportunities (as defined in 8.1.15).</t>
  </si>
  <si>
    <t>Training Model to Improve Trauma-Informed Crisis Responses for People with Mental Illness and Developmental Disabilities in a Carceral Setting</t>
  </si>
  <si>
    <t>trainer program to educate, train, and prepare jail and prison staff so they are equipped to appropriately interact with people in a carceral setting who have mental illness (MI) and intellectual and developmental disabilities (IDD). This training should be developed by an institution of higher education or non-profit, for profit or tribal in conjunction with health care and corrections professionals to ensure a multidisciplinary approach. The training must focus on understanding behavioral health, including MI and substance use disorders, IDD, developing empathy, navigating community resources, and de-escalation skills and practical application training of those skills in a trauma-informed manner for all staff working in prisons and jails. The centerpiece of this training must be a 40-hour CIT train-the-trainer program.</t>
  </si>
  <si>
    <t>Congressionally Directed Spending Projects</t>
  </si>
  <si>
    <t>HHS-SAMHS-SAMHSA</t>
  </si>
  <si>
    <t>Substance Abuse and Mental Health Services Adminis</t>
  </si>
  <si>
    <t>Others (see text field entitled "Additional Information on Eligibility" for clarification) Eligibility is limited to CDS Projects authorized under the Further Consolidated Appropriation Act, 2024 [P.L. 118-47].</t>
  </si>
  <si>
    <t>CDS projects align with SAMHSA's mission to lead public health and service delivery efforts that promote mental health, prevent substance misuse, and provide treatments and supports to foster recovery while ensuring equitable access and better outcomes. Recipients are expected to fully implement the projects that were approved by Congress. With this program, SAMHSA aims to award resources enacted in the FY 2024 Further Consolidated Appropriation Act.</t>
  </si>
  <si>
    <t>ACF CD Community Projects FY 2024</t>
  </si>
  <si>
    <t>HHS-ACF-OPRE</t>
  </si>
  <si>
    <t>Administration for Children and Families - OPRE</t>
  </si>
  <si>
    <t>Others (see text field entitled "Additional Information on Eligibility" for clarification) Eligible applicants are those that have been congressionally identified to receive FY24 funds for CD Community Project funding under the Social Services Research and Demonstration Program (CFDA 93.493).</t>
  </si>
  <si>
    <t>Eligible applicants are those that have been congressionally identified to receive FY24 funds for CD Community Project funding. Other non-specified entities may not receive replacement grants or serve as successors-in-interest after the award is made. Application must address activities consistent with the purpose identified by Congress. The amount requested cannot exceed the amount identified by Congress.</t>
  </si>
  <si>
    <t>NIST- Hawai i Partnership in Plastic Pollution Research (HPPR) Program</t>
  </si>
  <si>
    <t>Others (see text field entitled "Additional Information on Eligibility" for clarification) Eligible applicants include accredited institutions of higher education; non-profit organizations; for-profit organizations incorporated in the United States; and state and local governments with facilities on the Island of O ahu. Although Federal entities are not eligible to receive funding under this NOFO, they may participate as unfunded collaborators. Those supported may include employees, students or faculty as appropriate to the institution.</t>
  </si>
  <si>
    <t xml:space="preserve">The NIST-Hawaiâ€™i Partnership in Plastic Pollution Research is seeking applications from eligible applicants to establish an institutional award, as described in the Department of Commerce Grants and Cooperative Agreements Manual, Chapter 6.A.2 (20 April 2021), for activities to partner on the nationâ€™s priority plastic pollution research with efforts focusing on the Hawaiian Island region. Eligible applicants should describe how they can host and interact with at least three NIST scientists with office, laboratory and other appropriate facilities to perform multi-disciplinary plastic pollution research with the intent to establish a long-term partnership between NIST and the recipient, as discussed in Section I.1. The proposal should also include a description of administrative, research and outreach/educational support that would be offered by the applicant in the partnership to achieve world-class research in the field of plastic pollution.  
</t>
  </si>
  <si>
    <t>FY 2024 SNAP Process and Technology Improvement Grant</t>
  </si>
  <si>
    <t>For profit organizations other than small businesses The entities eligible to receive grants under this competition are: The 53 State agencies that administer SNAP; State or local governments; Public and private agencies providing health or welfare services; Indian Tribal Organizations (ITOs); Public health or educational entities; Private non-profit entities such as community-based or faith-based organizations, food banks, or other emergency feeding organizations.  State agencies should have the necessary approvals of State officials (such as councils or legislatures) of funding prior to submitting the application. Applicants should also acknowledge in their application that they have obtained all necessary approvals for funding. State and local governments should have the necessary approvals of State officials (such as councils or legislatures) of funding prior to submitting the application. Applicants should also acknowledge in their application that they have obtained all necessary approvals for funding.If an ITO applies for a PTIG, they must apply in partnership with their SNAP State Agency and provide a letter of endorsement from their State SNAP agency. Alternatively, the State agency can apply for a PTIG project with an ITO, and the ITO would need to provide a letter of commitment.Non-profit organizations must submit a copy of the IRS Determination Letter, form 501(c)(3) or proof of application for exempt status under section 501(c)(3) of the Internal Revenue Code, and a list of their Board of Directors, if applicable. All corporations, including nonprofit corporations must complete the attached representation regarding felony convictions and tax delinquency.Please read the full announcement for additional details.</t>
  </si>
  <si>
    <t>Fiscal Year 2024 Key Objectives  Application proposals must include at least one of the following three objectives identified below. Proposals may contain more than one objective. As noted in Section 4, applicants must map their proposed activities and indicators measuring success to the objective(s) using the â€œActivities/Indicators Tracker.â€ If awarded, grantees will be required to use the FNS-908 Performance Progress Report to report on progress towards activities that align with the required objective(s) listed on the â€œActivities/Indicators Tracker.â€ Carefully considering proposed activities and indicators will prepare grantees for their performance progress reporting requirements if awarded.
The project examples aligned with each objective listed below are only suggestions. A PTIG project may assist State agencies in making investments in systems to improve efficiency, provide excellent customer service, and meet Federal standards as they face unprecedented operational challenges. FNS welcomes other projects that support these objectives and encourages applicants to propose innovative ideas to solve both common and unique problems associated with SNAP application and eligibility processes.
1. Modernize SNAP customer service and client communication to improve accessibility, transparency, and responsiveness in processing applications and determining eligibility. 
2. Improve administrative infrastructure and day-to-day SNAP operations in processing applications and determining eligibility. 
3. Invest in technology and systems to encourage cross collaboration and cross enrollment between SNAP and other Federal, State, and local assistance programs.
Please read the full announcement for additional details.</t>
  </si>
  <si>
    <t>Hermes</t>
  </si>
  <si>
    <t>The Defense Advanced Research Projects Agency (DARPA) is soliciting innovative proposals to develop systemic drug delivery platforms for medical countermeasures (MCMs). The Hermes program is explicitly seeking transformative approaches enabling the development of delivery platforms with systemic biodistribution, exceptional endosomal escape efficiency, and minimal toxicity. Successful proposals will include a detailed description of the proposed delivery platform including 1) screening pipeline, 2) reporter systems for monitoring biodistribution and expression in animal models, 3) methods to monitor immunogenicity/toxicity, and 4) chosen therapeutic cargo and justification. Systemic delivery platforms developed under the Hermes effort will be transferred to U.S. Government stakeholders for further development.</t>
  </si>
  <si>
    <t>Refugee Family Child Care Microenterprise Development Program</t>
  </si>
  <si>
    <t>HHS-ACF-ORR</t>
  </si>
  <si>
    <t>Administration for Children and Families - ORR</t>
  </si>
  <si>
    <t>County governments Eligibility is limited to public and private non-profit organizations.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</si>
  <si>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Office of Refugee Resettlement (ORR) within the Administration for Children and Families (ACF) announces funding under the Refugee Family Child Care Microenterprise Development Project (RFCCMED). Through the RFCCMED program, ORR will fund successful applicants to provide refugee participants with training and technical assistance in professional child care, microenterprise development, and financial literacy; assist refugee participants in navigating the child care licensing process; and provide direct financial assistance as needed to enable participants to prepare their homes for child care business operation. Successful applicants will demonstrate internal capacity and partnerships to provide program services. The three main objectives of RFCCMED are to 1) help refugees to achieve economic self-sufficiency by establishing licensed family child care (FCC) businesses; 2) help refugee families gain access to licensed FCC businesses which will meet the early care and developmental needs of refugee children; and 3) assist refugees in learning how to navigate mainstream child care services.</t>
  </si>
  <si>
    <t>DoD Tuberous Sclerosis Complex, Clinical Translational Research Award</t>
  </si>
  <si>
    <t>The CTRA supports studies that will move promising, well-founded preclinical and/or clinical research findings closer to clinical application, including diagnosis, prognosis, or treatment of TSC. Projects supported by this award mechanism may include, but are not limited to:Â· Studies moving from preclinical to clinical research and/or the reverse; or analyzing human anatomical substances and/or data associated with completed clinical trials to understand the mechanism of action, or to improve diagnosis, prognosis, or treatment.Â· Studies advancing clinical trial readiness through development of biomarkers, clinical endpoints, and validation of pharmacokinetics/pharmacodynamics.Â· Pilot clinical trials, where limited clinical testing (e.g., small sample size) of a novel intervention to produce information on diagnostic or therapeutic effectiveness, safety, tolerability, or mechanisms of action. These studies should be aimed at obtaining preliminary data leading to the development of interventions with the potential to improve TSC outcomes.Â· New Studies improving clinical care of TSC encompassing the analysis of existing real-world clinical practice data to develop/improve guidelines for better outcomes in defined areas relevant to the FY24 TSCRP focus areas, include but are not limited to epilepsy surgery, tumor resection, reproductive health, perinatal surveillance and care, etc.Preclinical studies may be appropriate but must include a clinical component. Projects that are strictly animal research will not be considered for CTRA funding and should consider other FY24 TSCRP funding opportunities.</t>
  </si>
  <si>
    <t>DoD Tuberous Sclerosis Complex, Idea Development Award</t>
  </si>
  <si>
    <t>The IDA promotes ideas that have the potential to yield high-impact findings and new avenues of investigation. This award mechanism supports conceptually innovative research that could ultimately lead to critical discoveries in TSC research and/or improvements in patient care. Research projects should include a well-formulated, testable hypothesis based on strong preliminary data and scientific rationale.
The following are important aspects of the IDA:
Â· Impact: Applications should articulate both the short- and long-term impact of the proposed research. High-impact research will, if successful, significantly advance TSC research and/or patient care.
Â· Innovation: Innovative research may introduce a new paradigm, challenge existing paradigms, look at existing problems from new perspectives, or exhibit other uniquely creative qualities that may include high-risk/potentially high-gain approaches to TSC research. Research that is merely an incremental advance (to the next logical step) is not considered innovative.
Â· Preliminary Data: Unpublished results from the laboratory of the Principal Investigator (PI) or collaborators named on this application, and/or data from the published literature that are relevant to TSC and the proposed research project, are required.
Â· New-to-the-Field Investigator (NFI): The FY24 TSCRP IDA mechanism encourages applications from investigators in the early stages of their TSC research career. The NFI Option is designed to support the continued development of promising independent investigators that are early in their faculty appointments and/or the transition of established investigators from other research fields into TSC research. Applications to the NFI Option will compete separately from Established Investigators submitting to the regular IDA. PIs applying under the NFI category are strongly encouraged to strengthen their applications through collaboration with investigators experienced in TSC research and/or possessing other relevant expertise as demonstrated by a record of funding and publications. See Attachment 8: Eligibility Statement.</t>
  </si>
  <si>
    <t>Refugee Career Pathways Program</t>
  </si>
  <si>
    <t>Private institutions of higher education Public and private non-profit organizations may apply for this funding opportunity.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</si>
  <si>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Office of Refugee Resettlement (ORR) within the Administration for Children and Families (ACF) announces funding for the Refugee Career Pathways (RCP) program.  Through the RCP program, ORR will provide funding to enable refugees and other eligible populations to achieve self-sufficiency by obtaining the means to secure professional or skilled employment drawing upon previously acquired knowledge, skills, and experience.  Under the RCP program, the primary focus is to assist participants in learning about career pathways and developing individualized plans to gain employment and advance within their chosen career field.  Allowable activities will include case management, training and technical assistance, specialized English language training, and mentoring.  In addition, eligible refugee participants may receive federal financial assistance for costs related to the establishment or re-establishment of credentials, such as obtaining educational credits or enrollment in required certification programs.  ORR is requiring that RCP programs have a partnership with at least one educational institution (i.e., university, college, community college, or other institution with expertise in career and technical education) to facilitate career opportunities in ways that supplement, rather than supplant, existing services.  RCP programs implemented by an educational institution must collaborate with at least one refugee-focused entity (i.e., resettlement office and/or other organization with programming specifically aimed at refugees).</t>
  </si>
  <si>
    <t>DoD Tuberous Sclerosis Complex, Exploration-Hypothesis Development Award</t>
  </si>
  <si>
    <t>The EHDA supports the initial exploration of innovative, high-risk, high-gain, and potentially groundbreaking concepts in the TSC research field. The studies supported by this award mechanism are expected to generate preliminary data for future avenues of scientific investigation. The proposed research project should include a well-formulated, testable hypothesis based on a strong scientific rationale and study design. Applications should demonstrate the ability to achieve interpretable results in the absence of preliminary data supporting the hypothesis.The following are important aspects of the EHDA:Â· Innovation: Innovative research may introduce a new paradigm, challenge existing paradigms, examine existing problems from new perspectives, or exhibit other highly creative qualities. Research that is an incremental advance upon published data is not considered innovative and is not consistent with the intent of the award mechanism.		Although not all-inclusive, the following examples are ways in which the proposed research project may be innovative:â€¢ Explores a novel idea and/or research question in TSC research and/or patient care.â€¢ Uses or develops novel methods or technologies to address a question in TSC research and/or patient care.â€¢ Applies or adapts existing methods or technologies for novel TSC research or clinical purposes that differ fundamentally from those originally intended.</t>
  </si>
  <si>
    <t>Counterproliferation Finance</t>
  </si>
  <si>
    <t>DOS-ISN</t>
  </si>
  <si>
    <t>Bureau of International Security-Nonproliferation</t>
  </si>
  <si>
    <t>Others (see text field entitled "Additional Information on Eligibility" for clarification) Domestic Non-federal entities (including state, local government, Indian tribe, institutions of higher education (IHE), or nonprofit organization), Foreign Non-Profit Organizations, Domestic   Foreign For-Profit Organizations (must waive fee/profit), and Foreign Public Entities (including Foreign Public International Organizations).</t>
  </si>
  <si>
    <t>To implement a project aimed at advancing U.S. foreign policy and national security priorities by supporting initiatives that is more reflective of and responsive to the needs and perspectives of partner states to ensure strategic trade control systems meet international standards and by engaging on bilateral, regional and multilateral levels with foreign governments to aid in the establishment of independent capabilities to regulate transfers of weapons of mass destruction, WMD-related items, conventional arms, and related dual-use items, and to detect, interdict, investigate, and prosecute illicit transfers of such items.</t>
  </si>
  <si>
    <t>Global Resilience Against Drug-Resistant Tuberculosis  (GRAD-TB)</t>
  </si>
  <si>
    <t>This is a Notice of Funding Opportunity (NOFO) full package to solicit applications for one cooperative agreement from qualified entities to implement the Global Resilience Against Drug-Resistant Tuberculosis (GRAD-TB) program. Eligibility for this award is not restricted; thus, open to all eligible and qualified U.S., local and international non-governmental entities.The goal of this Activity is to support USAID TB countries to improve DR-TB detection, treatment, and prevention through the development and implementation of innovative approaches and practices, and the provision of specialized technical assistance to the local partners and National TB programs. Additionally, the Activity will support countries to fulfill their commitments set at the 2023 UNHLM on TB in line with WHOâ€™s End TB Strategy and USAIDâ€™s Global TB Strategy 2023-2030. As a result, this Activity will reduce the DR-TB burden through improved rapid detection, treatment, and prevention activities, while building a sustainable and resilient system using local organizations and approaches that are equitable, inclusive, and accessible. Please find the entire full announcement package in the "Related Documents" tab.</t>
  </si>
  <si>
    <t>Exploratory Advanced Research Program</t>
  </si>
  <si>
    <t>DOT-FHWA</t>
  </si>
  <si>
    <t xml:space="preserve">DOT Federal Highway Administration </t>
  </si>
  <si>
    <t>The purpose of this NOFO is to solicit applications for the Exploratory Advanced Research (EAR) Program to award cooperative agreements. The NOFO will result in the distribution of up to $2,000,000.The EAR program addresses the need for longer-term, higher risk breakthrough research with the potential for transformational improvements to plan, build, renew, and operate safe, congestion free, and environmentally sound transportation systems. The overall goal of this NOFO is to collect diverse pedestrian data, provide researchers access to this data, and encourage novel approaches for analysis of diverse data in support of increasing the safety and mobility of all people.The authority to enter into a cooperative agreement for this effort is found under 23 U.S.C. 502(b)(3)(C ). And funding for this effort is provided in in BIL (P. L. 117-58) Sec. 11101(c)(1)(A).NOFO Amendment 1 Summary (Posted 4/30/2024):  The purpose of this amendment is to provide link for this NOFO' Informational Webinar.  The webinar will be held on 05/08/2024 from 1:00PM - 1:45PM (Eastern), and can be accessed via the following link:  NOFO Amendment 1 Summary (Posted 4/25/2024): The purpose of this amendment is to provide the link and updated date and time information for this NOFO's Informational Webinar. The webinar will be held on 5/2/2024 from 2:00PM - 3:00PM (Eastern), and can be accessed via the following link:https://usdot.zoomgov.com/j/1612256897?pwd=bGZmMHJEU2dUTWFIeFkzTG5LQmRMdz09[END OF AMENDMENT 1 SUMMARY]</t>
  </si>
  <si>
    <t>Mississippi Delta Health Collaborative</t>
  </si>
  <si>
    <t>Others (see text field entitled "Additional Information on Eligibility" for clarification) Financial assistance from this Notice of Funding Opportunity will be provided only to the Mississippi Department of Health /Mississippi Delta Health Collaborative (MDHC). No other applications will be solicited or reviewed.</t>
  </si>
  <si>
    <t>The Mississippi Delta is a historically and culturally rich region of the United States. The architecture, French, Spanish, British, and German, is as diverse as the people whose origins are European, Native American, Spanish, African, and more. But for all its cultural wealth, there is a poverty of health and healthcare in the region. Residents of the 18-county region contend with persistent poor health outcomes compounded by challenges to attaining preventive services and care, poor quality of care, and stagnant opportunity structures, particularly as it relates to cardiovascular disease (CVD).Roughly 1 in 10 (9.9% â‰ˆ 28.6 million) adults in the US have at least 1 type of CVD, including coronary heart disease, heart failure, or stroke. This number excludes hypertension, a risk factor for and cause of CVD but not a type of CVD. However, hypertension or high blood pressure is a critical risk factor for stroke. An estimated 120 million American adults (48.1%) have it, most (3 in 4) donâ€™t have it controlled, and 1 in 5 adults is unaware they have hypertension.In 2012 CVD, particularly heart disease, was the leading cause of death in the Delta (244.4 deaths per 100,000).  The regionâ€™s residents experience age-adjusted death rates due to heart disease, stroke, and other CVDs that are considerably higher than national rates and the rest of Mississippi.  According to the 2018 Cardiovascular Health Examination Survey (CHES) in the Mississippi Delta, the adjusted overall prevalence of hypertension among adults in the region 18 and older was 42.8%.The persistence of these outcomes in the Delta is attributable to modifiable CVD conditions and risk factors, such as high blood pressure, high cholesterol, coronary heart disease, COPD, chronic kidney disease, diabetes, and stroke. To sufficiently address these conditions, interventions must include evidence-based and practice-based approaches that are innovative and tailored to the unique challenges and strengths of the 18-county MS Delta Region.  These interventions are needed in strategies that are focused on health systems, team-based care, and linkages to community resources and clinical services that address the social conditions that contribute to the prevalence of CVD in the MS Delta Region.   This cooperative agreement builds from lessons learned from previous iterations. It focuses on policy, systems, and environmental changes that impact clinical and community settings and lifestyle changes that reduce uncontrolled blood pressure and CVD within the MS Delta Region.</t>
  </si>
  <si>
    <t>Coastal West Africa Border Security Exercise</t>
  </si>
  <si>
    <t>Others (see text field entitled "Additional Information on Eligibility" for clarification) The following organizations are eligible to apply:  
 	Not-for-profit organizations, including think tanks and civil society/non-governmental organizations 
 	Public and private educational institutions 
 	For-profit organizations (only if allowed by appropriation) 
 	Public International Organizations (PIOs) and Governmental institutions</t>
  </si>
  <si>
    <t>The Bureau of Counterterrorism (CT) of the U.S. Department of State announces an open competition for organizations to submit applications to host a one-week border security exercise in Coastal West Africa (CWA).</t>
  </si>
  <si>
    <t>WaterSMART Environmental Water Resources Projects 2024</t>
  </si>
  <si>
    <t>DOI-BOR</t>
  </si>
  <si>
    <t>Bureau of Reclamation</t>
  </si>
  <si>
    <t>Others (see text field entitled "Additional Information on Eligibility" for clarification) Category A: States; Indian tribes; irrigation districts; water districts; state, regional, or local authorities, whose members include one or more organizations with water or power delivery authority; and other organizations with water or power delivery authority. All Category A applicants must be located in one of the following States or Territories: Alaska, Arizona, California, Colorado, Hawaii, Idaho, Kansas, Montana, Nebraska, Nevada, New Mexico, North Dakota, Oklahoma, Oregon, South Dakota, Texas, Utah, Washington, Wyoming, American Samoa, Guam, the Northern Mariana Islands, the Virgin Islands, or Puerto Rico.  Category B: Non-profit conservation organizations, including watershed groups as defined in the Cooperative Watershed Management Act, Section 6001, that are acting in partnership with, and with the agreement of, an entity described in Category A. All Category B applicants must be in the United States or one of the Territories identified above.  Category C: Non-profit conservation organizations submitting an application for a project to implement a nature-based solution on Federal land may submit an application without a Category A partner, if they demonstrate that entities described in Category A from the applicable service area have been notified and do not object to the project. All Category C applicants must be in the United States or one of the Territories identified above.</t>
  </si>
  <si>
    <t>The United States Department of the Interiorâ€™s (DOIâ€™s) WaterSMART (Sustain and Manage Americaâ€™s Resources for Tomorrow) Program provides a framework for Federal leadership and assistance to stretch and secure water supplies for future generations in support of DOIâ€™s priorities. Through WaterSMART, Reclamation leverages Federal and non-Federal funding to work cooperatively with States, Tribes, and local entities as they plan for and implement actions to increase water supply reliability through investments in existing infrastructure and attention to local water conflicts. This Environmental Water Resources Projects NOFO provides funding for water conservation and efficiency projects, water management and infrastructure improvements, and river and watershed restoration projects and nature-based solutions that provide significant ecological benefits, have been developed as part of a collaborative process, and help carry out an established strategy to increase the reliability of water resources.Reclamationâ€™s WaterSMART Environmental Water Resources Projects provide support for priorities identified in Presidential Executive Order (E.O.) 14008: Tackling the Climate Crisis at Home and Abroad and is aligned with other priorities such as those identified in E.O. 13985: Advancing Racial Equity and Support for Underserved Communities Through the Federal Government. The Environmental Water Resources Projects also support the goals of the Interagency Drought Relief Working Group established in March 2021 and the National Drought Resiliency Partnership.11 For more information, see E.O. 14008, Tackling the Climate Crisis at Home and Abroad (January 27, 2023), https://www.federalregister.gov/documents/2021/02/01/2021-02177/tackling-the-climate-crisis-at-home-and-abroad; Justice40 Initiative, https://www.whitehouse.gov/environmentaljustice/justice40/; Addendum to the Interim Implementation Guidance for the Justice 40 Initiative, M-21-28, on using the Climate and Economic Justice Screening Tool (CEJST), M-23-09, (January 27, 2023), https://www.whitehouse.gov/wp-content/uploads/2023/01/M-23-09_Signed_CEQ_CPO.pdf.</t>
  </si>
  <si>
    <t>Field Biology Technical Assistance and Predator Control for Pacific Missile Range Facility (PMRF), Kauai, Hawaii</t>
  </si>
  <si>
    <t>DOD</t>
  </si>
  <si>
    <t>Department of Defense</t>
  </si>
  <si>
    <t>Others (see text field entitled "Additional Information on Eligibility" for clarification) This funding opportunity is ONLY available for Cooperative Ecosystem Study Units under the Hawai i-Pacific Islands / Desert Southwest / Californian / Rocky Mountains CESU Regions. SIKES AUTHORITY ONLY: In accordance with the 16 USC 670c-1, Sikes Act, projects for the implementation and enforcement of integrated natural resources management plans, priority shall be given to Federal and State agencies having responsibility for the conservation or management of fish or wildlife.</t>
  </si>
  <si>
    <t>Agency Name: Fort Worth DistrictDescription:Note: A full study proposal and proposed budget are NOT requested at this time.Project Title: Field Biology Technical Assistance and Predator Control for Pacific Missile Range Facility (PMRF), Kauai, HawaiiResponses to this Request for Statements of Interest will be used to identify potentialorganizations for this project. Approximately $612,000 is expected to be available to supportthis project for the base period. Additional funding may be available to the successful recipientfor optional tasks and/or follow on work in subsequent years.NOTE: This project will be awarded under the authority of 10 USC 670c-1, Sikes Act: Forprojects for the implementation and enforcement of integrated natural resources managementplans, priority shall be given to award to Federal and State agencies having responsibility for theconservation or management of fish or wildlife.Period of Performance: The base period of agreement will extend 12 months from date ofaward. There may be up to four 12-month follow-on periods based on availability of funding.Description of Anticipated Work: See attached Statement of ObjectivesNOTE: At this time we are only requesting that you demonstrate available qualifications andcapability for performing similar or same type of work by submitting a Statement of Interest. Afull proposal and budget are NOT requested at this time.Preparation of your Statement of Interest: Provide the following (Maximum length: 2 pages,single-spaced, 12 pt. font):1. Name, Organization, Cage Code, Unique Entity ID, and Contact Information (Email)2. Brief Statement of Qualifications (including):a. Biographical sketch of the Principal Investigator, to include specific experience and capabilities in areas related to this projectâ€™s requirementsb. Relevant past projects and clients with brief descriptions of these projectsc. Staff, faculty or students available to work on this project and their areas of expertised. Brief description of other capabilities to successfully complete the project: (e.g. equipment, laboratory facilities, greenhouse facilities, field facilities, etc.)Submission of Your Statement of Interest1. Statements of Interest are due by May 17, 2024 at 5:00 P.M. CST.2. Submit your Statement of Interest via e-mail attachments or direct questions to:Yvonne HowardGrants SpecialistUSACE, Fort Worth DistrictEmail: yvonne.howard@usace.army.milOffice: 817-751-9737Kathy S. MitchellProject ManagerUSACE, Fort Worth DistrictEmail: kathy.s.mitchell@usace.army.milOffice: 817-886-1709Review of Statements Received: All statements of interest received from a member of the CESU Region(s) identified above will be evaluated by a board comprised of one or more people at the receiving installation or activity, who will determine which statement(s) best meet the program objectives: offer the most highly qualified Principal Investigator, have the most relevant experience and the highest capability to successfully meet the program objectives. Submitters whose statements are determined to best meet the program objectives will be invited to submit a full proposal.Timeline for Review of Statements of Interest: RSOIâ€™s are required to be posted on www.Grants.gov for 30 days prior to the Government making a decision and requesting full proposals.Thank you for your interest in our Cooperative Agreements Program.</t>
  </si>
  <si>
    <t>PC-24-03: Characterization of Water Column Habitats to Understand Potential Impacts from Deepwater Energy and Mineral Development</t>
  </si>
  <si>
    <t>DOI-BOEM</t>
  </si>
  <si>
    <t>Bureau of Ocean Energy Management</t>
  </si>
  <si>
    <t>Others (see text field entitled "Additional Information on Eligibility" for clarification) This study is a single source Cooperative Agreement between BOEM and the University of Alaska-Fairbanks as part of the Alaska Cooperative Ecosystem Studies Unit.This Program Announcement describes the specific projects that may be awarded to the universities or eligible groups identified. All awards are premised on receipt of an acceptable proposal. This is not an open solicitation for proposals. This announcement is specifically to announce intent to undertake the following project(s):  Characterization of water column habitats to understand potential impacts from deepwater energy and mineral developmentOpen to:  University of Alaska-Fairbanks as a member of the Alaska Cooperative Ecosystem Studies Unit (CESU).The award will be a cooperative agreement (see Eligibility Information below). This involves substantial involvement by BOEM scientists in various aspects of study development and/or study conduct. Given that it is associated with the Alaska CESU, the overhead rate will be 17.5%.</t>
  </si>
  <si>
    <t>Although the pelagic ocean is the largest ecosystem on earth, it remains poorly characterized and understood due to its vast size and three-dimensional, highly dynamic nature (e.g., Perelman et al. 2021). Most oceanographic programs concentrate upon the surface ocean because plankton and larval fish are concentrated there. Very little of the water column below the epipelagic (0â€“200 m) has been described in any detail (Netburn 2018). However, we know that important processes occur throughout that water column, such as the biological pump (Passow and Carlson 2012), diel vertical migration (Sutton 2013, Kelly et al. 2019), other mechanisms for connectivity (Sutton 2013), and food web dynamics (Choy et al. 2017). As industries move to deeper waters of the OCS, it is imperative to learn more about potential impacts to these habitats, specifically sites of commercial interest. Water column information can be collected by traditional oceanographic equipment, especially when supplemented by new techniques and technology. In addition to physical and chemical profiles of the water column, Conductivity-Temperature-Depth (CTD) rosette casts can collect water samples to evaluate the biological community through eDNA sampling. Cameras can also be integrated onto CTD rosettes to help image these pelagic environments for which the deeper habitats are rarely visualized. This study is intended to fund the integration of a complementary water column component into planned marine mineral and offshore wind-related research cruises in locations of potential commercial interest. There are two cost-effective near-term opportunities for at-sea data collection to support the proposed study objectives in the fall of 2024. One is a planned August 26 â€“ September 16 NOAA-led benthic habitats AUV survey on NOAA Ship Bell M. Shimada out of Newport, Oregon that is focused on areas of interest for offshore wind in northern California and southern Oregon. The second is a September 10 â€“ October 07 USGS-led multibeam and box core cruise on the R/V Kilo Moana out of Honolulu, Hawaiâ€™i that will assess the abundance and composition of abyssal manganese nodules at the southern extreme of the OCS south of Hawaiâ€™i. There appear to be several substantive outyear opportunities in 2025 and beyond to add a mid-water component to anticipated NOAA cruises in areas of interest for both offshore wind and critical minerals. BOEM will work with the award recipient to secure sample collection opportunities on select outyear opportunities. The scope of water column operations on each cruise will be designed in consultation with cruise Chief Scientists to address the highest priority mid-water environmental information needs while taking into account any pre-existing science plans and available planning horizon. For example, optical sensors (e.g., high-definition cameras, shadowgraphs) could be deployed when primary science operations are done for the day, or a smaller system could be integrated onto a CTD rosette to simultaneously collect imagery without needing dedicated wire-time. Data from the at-sea efforts will contribute significantly to baseline knowledge of pelagic systems that are highly dynamic and difficult to study. With industries moving into deeper waters further offshore, these water column data are necessary to understand environmental conditions and associated natural variation. For example, baseline environmental data can improve our understanding of environmental risks and potential impacts of floating offshore wind, such as changes in organism behavior and displacement (Maxwell et al. 2022). Additionally, current seabed mining technologies are expected to produce sediment plumes with unknown environmental impacts (Gollner et al. 2017, Gillard et al. 2019). Baseline data for these water column habitats are thus critical for identifying the resources that may be impacted and assessing what those impacts are likely to be.The proposed study will address the following objectives.Develop species inventories throughout the water column in areas of potential commercial interest for floating offshore wind and critical minerals, particularly abyssal manganese nodulesAssess other recent/ongoing scientific programs that can provide relevant data and meaningfully support the study objectives [e.g., California Current Ecosystem (CCE) Long-Term Ecological Research (LTER)] Explain the regional distribution of organisms relative to the physical and chemical oceanographic conditions Provide recommendations for a cost-effective and high-value sampling and sensor package or module(s) that can be easily integrated as a mid-water add-on to future research cruises. Some of the key questions to be addressed are:What is the pelagic community structure in current and potential regions of interest for offshore wind development and abyssal nodules in the Pacific OCS?What are the physical and chemical drivers in each region, and how do they relate to the pelagic community structure?What is a relatively simple and cost-effective standard midwater science component â€˜add-onâ€™ that could provide high value to future deepwater Pacific research efforts?</t>
  </si>
  <si>
    <t>F24AS00309 FY2024 Latin America Regional Program</t>
  </si>
  <si>
    <t>DOI-FWS</t>
  </si>
  <si>
    <t>Fish and Wildlife Service</t>
  </si>
  <si>
    <t>Others (see text field entitled "Additional Information on Eligibility" for clarification) Applicants under this program can be multi-national secretariats, foreign governments, U.S. and foreign non-profits, non-governmental organizations, community and Indigenous organizations, and U.S. and foreign public and private institutions of higher education. Individuals are not eligible to apply under this Notice of Funding Opportunity. In addition, tuition for individuals and field expenses for projects carried out in support of masters, doctorate degrees, and post-doctorate research are not eligible under this Notice of Funding Opportunity.</t>
  </si>
  <si>
    <t>The mission of the Latin America Regional Program is to provide technical and financial assistance to partners to conserve the regionâ€™s priority species and their habitats. It advances its mission by supporting projects that reduce threats to key wildlife species and strengthen local capacity that results in measurable conservation impacts that benefit biodiversity and its people in the long-term. Responding to and tackling the challenges that Latin Americaâ€™s biodiversity faces requires inclusive and equitable approaches, as well as coordinated actions by stakeholders across the region. The Latin America Regional Program seeks to partner with national governments, civil society and grassroots organizations, and research and academic institutions that are willing to work with local groups that bring new perspectives and leadership. See Section C. Eligibility Conditions for more information about eligibility. Conserving Latin Americaâ€™s unique assemblage of species and natural habitats requires addressing the damage that unsustainable resource use, habitat loss and fragmentation, agricultural expansion, human-wildlife conflict, and climate change have on species and ecosystems. Therefore, this NOFO will only consider projects that clearly articulate how the proposed actions will reduce these above-mentioned threats under at least one of the following categories: Species Conservation: This category seeks to support projects that promote the recovery and conservation efforts of key terrestrial species and their habitats along their range. Proposed activities can be implemented on the local, national, or regional (transnational) level, and can involve more than one priority species. Species should meet the criteria to be listed either as â€œEndangeredâ€ or â€œThreatenedâ€ on the ESA, or as â€œCritically Endangered,â€ â€œEndangered,â€ or â€œVulnerableâ€ on the International Union for the Conservation of Nature (IUCN) Red List. Species listed as â€œData Deficientâ€ or â€œExtinct in Wildâ€ on the IUCN Red List are not eligible under this NOFO.Conservation Stewardship: This category seeks to support projects that assist communities living in and along critical wildlife corridors and strongholds, by building on their traditional land-use practices, governance principles, ethnobiological knowledge and reduce their costs of living with wildlife. Proposed activities can be implemented on the local, national or regional (transnational) level.Important ConsiderationsProject activities should take place in eligible geographies of Latin America (see Eligibility below). If work is to be conducted in the United States, the proposal must show a clear impact on biodiversity conservation in Latin America to be eligible.Transnational projects and consortia applications are encouraged.Only one application per organization will be accepted under this announcement.Project activities that emphasize data collection and status assessment should describe a direct link to management action and explain how lack of information has been a key limiting factor for management action.Please note that a letter of government endorsement is required and must be included with your submission. Applicants are strongly encouraged to consult with relevant government authorities prior to preparing applications for Service funds. See Section D2. Content and Form of Application Submission for more information.The Latin America Regional Program reserves the right to fund any or none of the submissions and make adjustments to the funding amounts. The Notice of Funding Opportunity seeks to fund approximately six awards, each with a total budget not to exceed $200,000 over two years. To maximize the impact and sustainability of the awards that result from this NOFO, the Latin America Regional Program retains the right to execute non-competitive continuation amendments. The total duration of any award, including non-competitive continuation amendments, cannot exceed five years. Any non-competitive continuation amendment is contingent on performance and pending availability of federal funds, satisfactory performance and compliance with award terms and conditions.Due to other grant programs supported by the Service, the Latin America Regional Program will not fund projects related to marine turtles, tortoises, and freshwater turtles (Marine Turtle Conservation Act Fund), neotropical migratory birds (Neotropical Migratory Bird Conservation Act Fund), North America wetlands (North America Wetlands Conservation Act), songbirds (Species Conservation Catalyst Fund on Songbirds), California condor, and Mexican gray wolf. Eligibility*Projects are to be implemented in or around natural protected areas, biological corridors, and recovery units in:Mexico: Species: jaguar Geographic eligibility: Yucatan peninsula and Lacandon jungle.Central America: Geographic eligibility: Guatemala and HondurasSouth America: Geographic eligibility: Gran Chaco (Eastern Bolivia, Paraguay, and northern Argentina) and Andes-Amazon (Bolivia, Colombia, Ecuador, and Peru)</t>
  </si>
  <si>
    <t>Community Mobilization Initiatives to End Tuberculosis 2 (COMMIT 2)</t>
  </si>
  <si>
    <t>USAID-CAM</t>
  </si>
  <si>
    <t>Cambodia USAID-Phnom Penh</t>
  </si>
  <si>
    <t>Others (see text field entitled "Additional Information on Eligibility" for clarification) Eligibility for this NOFO is restricted to local organizations in Cambodia. See section C of the NOFO for eligibility information.</t>
  </si>
  <si>
    <t xml:space="preserve">The goal of USAID/Cambodiaâ€™s new five-year community tuberculosis (TB) activity is to accelerate TB case finding and case holding activities to maximize TB outcomes among Cambodians, including vulnerable populations such as Indigenous People. This Activity will build on USAIDâ€™s previous investments in community TB control, including the USAID Community Mobilization Initiatives to End Tuberculosis (COMMIT) activity, recommendations from the COMMITâ€™s mid-term evaluation, and lessons learned from stakeholders; and further contribute to the National TB Strategic Plan to End TB (2021-2030), World Health Organizationâ€™s (WHO) End TB Strategy, and USAIDâ€™s Global TB Strategy 2023 - 2030. This Activity will focus on improving and streamlining the implementation of the End TB strategy at the community level while strengthening longer-term systems and capacity for: improving access to and demand for high quality TB services and advancing their integration within national health systems, creating an enabling private sector environment for TB control and the provision of TB services, and improving TB Management Information System (MIS) systems and data use, to provide better and more sustainable TB services. </t>
  </si>
  <si>
    <t>WATER RESOURCES RESEARCH ACT PROGRAM NATIONAL COMPETITIVE GRANTS FY2024 PROGRAM ANNOUNCEMENT For PER   AND POLYFLUOROALKYL SUBSTANCES (PFAS)</t>
  </si>
  <si>
    <t>Others (see text field entitled "Additional Information on Eligibility" for clarification) Awards are available only to Water Resources Research Institutes established pursuant to the provisions of section 104 of the Water Resources Research Act and listed at http://water.usgs.gov/wrri/index.php. However, any investigator at an institution of higher learning in the United States is eligible to apply for an award through a Water Resources Research Institute. The application, with full proposal along with the SF-424 and SF-424B and budget forms, must be submitted through grants.gov (http://www.grants.gov) by the university at which the Institute is located. Proposals requesting matching funds from an Institute are authorized at the discretion of the Institute Director.</t>
  </si>
  <si>
    <t>This Program Announcement is issued under the provisions of section 104 of the Water Resources Research Act of 1984 (Public Law 98-242), as amended by Public Laws 101-397, 104-147, 106-374, 109-471, and 117â€“58. Section 104 of the Water Resources Research Act directs the Secretary of the Interior to administer program grants to Institutes established under the provisions of section 104(a) of the Act. Water Resources Research Institutes have been established in each of the 50 states, the District of Columbia, Puerto Rico, the U.S. Virgin Islands, and Guam.  The Institute in Guam also serves the Federated States of Micronesia and the Commonwealth of the Northern Mariana Islands.  The Institute in Hawaii also serves American Samoa.  The addresses of the 54 Institutes are available at https://water.usgs.gov/wrri/index.php. Responsibility for administration of the Water Resources Research Act Program has been delegated to the U.S. Geological Survey (USGS).</t>
  </si>
  <si>
    <t>WATER RESOURCES RESEARCH ACT PROGRAM NATIONAL COMPETITIVE GRANTS FY2024 PROGRAM ANNOUNCEMENT For AQUATIC INVASIVE SPECIES</t>
  </si>
  <si>
    <t>Integrated Community Health Activity</t>
  </si>
  <si>
    <t>USAID-BUR</t>
  </si>
  <si>
    <t>Burundi USAID-Bujumbura</t>
  </si>
  <si>
    <t>Others (see text field entitled "Additional Information on Eligibility" for clarification) Local Burundian Organizations</t>
  </si>
  <si>
    <t xml:space="preserve">The purpose of the Integrated Community Health activity is to improve community engagement to strengthen the quality of Malaria, Maternal and Child Health (MCH), and Family Planning (FP) services to reduce maternal and child mortality and morbidity.
Key objectives are:
- community engagement through Informative, Preparatory and Decision-making participation processes
- Ensure the continuum of services from health facilities to communities, in that services facilities provide complement community health services and vice versa in a coordinated fashion from preventive care to treatment for effectively and efficiently and addressing patient concerns.
- Provide community health workers the training, coaching and supportive supervision they need to reach the necessary qualification pre-service and </t>
  </si>
  <si>
    <t>WATER RESOURCES RESEARCH ACT PROGRAM NATIONAL COMPETITIVE GRANTS FY2024 (104g General)</t>
  </si>
  <si>
    <t>BOLD ACADEMIC FELLOWSHIPS PROGRAM</t>
  </si>
  <si>
    <t>DOS-BIH</t>
  </si>
  <si>
    <t>U.S. Mission to Bosnia and Herzegovina</t>
  </si>
  <si>
    <t>Others (see text field entitled "Additional Information on Eligibility" for clarification) U.S. public and private non-profit organizations and accredited post-secondary U.S. higher education institutions (community colleges, liberal arts colleges, public and private universities) meeting the eligibility requirements outlined in this section are eligible to apply. Applicants must demonstrate an ability to work in all parts of BiH, whether independently or in cooperation with a partner organization.</t>
  </si>
  <si>
    <t xml:space="preserve">The United States Embassy in Bosnia and Herzegovina (BiH), through the Office of Public Diplomacy Section (PDS), is pleased to announce a Notice of Funding Opportunity to design and implement the BOLD Academic Fellowship Program on Economic Development. PDS invites proposal submissions from U.S. public and private non-profit organizations and accredited U.S. post-secondary educational institutions (community colleges, liberal arts colleges, public and private universities) meeting the provisions described in Internal Revenue Code section 26 USC 501(c)(3) (see section III, Eligibility Information) to design and implement the BOLD (Balkanski Omladinski Lideri, Balkan Young Leaders) Academic Fellowship for BiH Student Leaders on Economic Development, pending the availability of Fiscal Year 2023/2024 Assistance to Europe, Eurasia and Central Asia (AEECA) funds. </t>
  </si>
  <si>
    <t>U.S. Embassy Algiers PAS Annual Program Statement</t>
  </si>
  <si>
    <t>DOS-DZA</t>
  </si>
  <si>
    <t>U.S. Mission to Algeria</t>
  </si>
  <si>
    <t>State governments Social Enterprises</t>
  </si>
  <si>
    <t>The U.S. Embassy Algiers Public Affairs Section (PAS)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 Purpose of Small Grants: PAS Algiers invites proposals for programs that strengthen cultural ties between the U.S. and Algeria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Examples of PAS Small Grants Program programs include, but are not limited to:â€¢ Academic and professional lectures, seminars and speaker programs;â€¢ Artistic and cultural workshops, joint performances and exhibitions;â€¢ Cultural heritage conservation and preservation programs;â€¢ Professional and academic exchanges and programs;â€¢ English language programs. Priority Program Areas: English language and research exchange: proposals that enhance the Algerian publicâ€™s understanding of U.S. culture, values, history, society, and policies through building English language capacity and/or expanding education and research exchange opportunities in both public and private institutions. Countering mis- and dis-information: proposals that increase understanding of mis- and dis-information and strengthen media, citizenry, and civil society capacity to promote democratic processes and active civil engagement of the Algerian people and serve as a link to government resources and services for the people. Entrepreneurship: proposals that strengthen the entrepreneurship ecosystem, particularly those that increase opportunities and support for minority and women participation in the workforce.Priority Participants and Audiences:Youth: Algerian youth ages 12-30, particularly those from minority groups or underserved areas. Press and media: public and private traditional media outlets, influencers, and bloggers. Creators (e.g., artists, entrepreneurs): Algerian creators ages 25-45, particularly those from minority groups or underserved areas and/or those who work on building civil society or climate friendly/sustainable projects. The following types of programs are NOT eligible for funding:â€¢ Programs relating to partisan political activity;â€¢ Charitable or development activities;â€¢ Construction programs;â€¢ Programs that support specific religious activities;â€¢ Fund-raising campaigns;â€¢ Lobbying for specific legislation or programs;â€¢ Scientific research;â€¢ Programs intended primarily for the growth or institutional development of the organization; orâ€¢ Programs that duplicate existing programs. Authorizing legislation, type, and year of funding: Smith-Mundt FY2024 Public Diplomacy fundingPlease go to the link description to see full instructions and links to download application forms: https://dz.usembassy.gov/funding-opportunities_2024/.</t>
  </si>
  <si>
    <t>Request for Information on Domestic Manufacturing Conversion Grants for Electrified Vehicles: State Partnerships for Small- and Medium-Sized Manufacturers (SMMs)</t>
  </si>
  <si>
    <t>Others (see text field entitled "Additional Information on Eligibility" for clarification) Please refer to the Funding Opportunity Announcement which will address eligibility requirements.</t>
  </si>
  <si>
    <t>This is a Request for Information (RFI) issued by the U.S. Department of Energyâ€™s (DOE) Manufacturing   Energy Supply Chains Office (MESC). This RFI seeks public input to help inform DOEâ€™s implementation of the Inflation Reduction Act Automotive Conversion Program. The program will support automotive manufacturing domestic facility conversion for electrified vehicles as a continuation of Funding Opportunity Announcement DE-FOA-0003106. This program will focus on small- and medium-sized manufacturers (SMMs) via state-federal partnerships. This RFI contains 24 questions in the Purpose section. Respondents are not required to answer all questions.</t>
  </si>
  <si>
    <t>BJA FY24 STOP School Violence Program Competitive Solicitation</t>
  </si>
  <si>
    <t>State governments Units of local government, such as towns, boroughs, parishes, villages, or other general purpose political subdivisions of a state</t>
  </si>
  <si>
    <t>With this solicitation BJA seeks to increase school safety by implementing solutions that will improve school climate. Solutions include school-based behavioral threat assessments and/or intervention teams to identify school violence risks among students, technological innovations that are shown to increase school safety such as anonymous reporting technology, and other school safety strategies that assist in preventing violence.</t>
  </si>
  <si>
    <t>Foster Youth to Independence (FYI) Competitive NOFO - Fiscal Year 2024</t>
  </si>
  <si>
    <t>HUD</t>
  </si>
  <si>
    <t>Department of Housing and Urban Development</t>
  </si>
  <si>
    <t>Others (see text field entitled "Additional Information on Eligibility" for clarification) Information on Eligible ApplicantsOnly PHAs that have an existing Annual Contributions Contract (ACC) with HUD for HCVs are eligible to apply for funding under this NOFO.PHAs wishing to share the administration of the program with another PHA may apply jointly, however, the Annual Contributions Contract (ACC) will be solely with the lead PHA applicant and all reporting must be submitted by the lead PHA applicant. The maximum number of vouchers will be based on the lead NOFO PHA's voucher program size (i.e., no more than the number of vouchers the same PHA would be eligible to apply for if it had only one PHA code number).Eligible PHAs must have demonstrated a commitment to administer FYI Competitive vouchers, which shall be verified by an executed Memorandum of Understanding (MOU) between the PHA and PCWA. HUD strongly encourages adding other important partners, such as a State or local government, non-profit, philanthropic or faith-based organizations, and CoCs, or a CoC recipient it designates, to the partnership. The MOU must also identify the assistance being provided and state who will be providing such assistance.HUD will only consider funding one application per PHA. This one application limit applies regardless of whether the PHA is a State or regional PHA. In instances where a PHA has more than one PHA code number due to its operating under the jurisdiction of more than one HUD Field Office, a separate application, under each code, shall be considered for funding with the cumulative total of vouchers applied for under the applications not to exceed the maximum number of vouchers the PHA is eligible to apply for under this NOFO (i.e., no more than the number of vouchers the same PHA would be eligible to apply for if it had only one PHA code number). Individuals, foreign entities, and sole proprietorship organizations are not eligible to compete for, or receive, awards made under this announcement.</t>
  </si>
  <si>
    <t>You must download both the Application Instructions and the Application Package from Grants.gov. You must verify that the Assistance Listing Number and Assistance Listing Description on the first page of the Application Package, and the Funding Opportunity Title and the Funding Opportunity Number match the Program and NOFO to which you are applying.The Application Package contains the portable document forms (PDFs) available on Grants.gov, such as the SF-424 Family. The Instruction Download contains official copies of the NOFO and forms necessary for a complete application. The Instruction Download may include Microsoft Word files, Microsoft Excel files, and additional documents.An applicant demonstrating good cause may request a waiver from the requirement for electronic submission, for example, a lack of available Internet access in the geographic area in which your business offices are located. Lack of SAM registration or valid DUNS/UEI is not good cause. If you cannot submit your application electronically, you must ask in writing for a waiver of the electronic grant submission requirements. HUD will not grant a waiver if the Applicant fails to submit to HUD in writing or via email a request for a waiver at least 15 calendar days before the application deadline. If HUD grants a waiver, a paper application must be received before the deadline for this NOFO. To request a waiver, you must contact:</t>
  </si>
  <si>
    <t>Disability and Rehabilitation Research Projects (DRRP) Program: Enhancing the Accessibility of Air Travel</t>
  </si>
  <si>
    <t>HHS-ACL</t>
  </si>
  <si>
    <t>Administration for Community Living</t>
  </si>
  <si>
    <t>City or township governments States; public or private agencies, including for-profit agencies; public or private organizations, including for-profit organizations; IHEs; and Indian tribes and tribal organizations. Foreign entities are not eligible to compete for, or receive, awards made under this announcement. Faith-based and community organizations that meet the eligibility requirements are eligible to receive awards under this funding opportunity announcement.</t>
  </si>
  <si>
    <t>Under this particular DRRP funding opportunity, applicants must propose to (1) conduct research on the air travel experiences and outcomes of people with disabilities; (2) conduct research on practices, policies, and systems that shape air travel experiences and outcomes among people with disabilities; and (3) conduct knowledge translation activities to promote air travel accessibility and positive air travel experiences and outcomes among people with disabilities. The grant will have a 60-month project period, with five 12-month budget periods.</t>
  </si>
  <si>
    <t>Rehabilitation Research and Training Center (RRTC) on Health and Function of People with Physical Disabilities</t>
  </si>
  <si>
    <t>State governments States; public or private agencies, including for-profit agencies; public or private organizations, including for-profit organizations; IHEs; and Indian tribes and tribal organizations. Foreign entities are not eligible to compete for, or receive, awards made under this announcement. Faith-based and community organizations that meet the eligibility requirements are eligible to receive awards under this funding opportunity announcement.</t>
  </si>
  <si>
    <t>The purpose of the RRTCs, which are funded through the Disability and Rehabilitation Research Projects and Centers Program, is to achieve the goals of, and improve the effectiveness of, services authorized under the Rehabilitation Act through well-designed research, training, technical assistance, and dissemination activities in important topical areas as specified by NIDILRR. These activities are designed to benefit people with disabilities, family members, rehabilitation service providers, policymakers and other research stakeholders.  The purpose of this particular RRTC is to conduct research, training, technical assistance, and related activities to contribute to improved health and function among people with physical disabilities. NIDILRR plans to make one grant under this opportunity. The grant will have a 60-month project period, with five 12-month budget periods.</t>
  </si>
  <si>
    <t>PEPFAR DRC Community-Led Monitoring (CLM) Program</t>
  </si>
  <si>
    <t>DOS-COD</t>
  </si>
  <si>
    <t>U.S. Mission to the Democratic Republic of Congo</t>
  </si>
  <si>
    <t>Others (see text field entitled "Additional Information on Eligibility" for clarification) Eligible applicants are local Community-based organizations and other civil society groups, networks of key populations (KP), people living with HIV (PLHIV), youth and adolescents including children and other HIV-affected groups.</t>
  </si>
  <si>
    <t>The U.S. Department of State, U.S. Embassy in Kinshasa - Democratic Republic of Congo through the U.S. Presidentâ€™s Emergency Plan for AIDS Relief (PEPFAR) Coordination Office (PCO) is pleased to announce an open Notification of Funding Opportunity (NOFO) for organizations to submit applications that support Community - led Monitoring (CLM) activities, to be implemented in close collaboration with local Community-based organizations and other civil society groups, networks of key populations (KP), people living with HIV (PLHIV), youth and adolescents including children and other HIV-affected groups. The CLM program will be implemented in the three PEPFAR provinces including Kinshasa, Haut-Katanga and Lualaba. Community-led monitoring or CLM is a routinized process initiated and implemented by local HIV-positive and HIV-affected communities, community-based organizations and other civil society groups that identifies HIV service delivery successes, diagnoses problems, uses quantitative and qualitative data to overcome barriers and ensure that HIV service beneficiaries receive optimal client-centered services.  The intention of CLM is for local community leadership to get inputs from recipients and providers of HIV services, including key populations and underserved groups, in a routine and systematic manner and translate their findings into action and change in collaboration with host governments and health systems.  CLM is a tool within the community engagement process, a strategic collaboration of multiple partnerships within a designated geographic location. CLM leverages community engagement to empower community members to identify successes, diagnose problems, use data-driven approaches to overcome barriers, and ensure beneficiaries receive optimal client-centered services in a productive, collaborative, respectful, and solutions-oriented manner. This community-driven approach to addressing health challenges often evolves into advocacy, whether driven by the individual, community, organizations, or institutions. The CLM program is funded through the U.S. Presidentâ€™s Emergency Plan for AIDS Relief (PEPFAR). The goal of PEPFAR in DRC is to support efforts to achieve HIV epidemic control through implementation of evidence-based interventions to drive progress in HIV prevention, care and treatment and ultimately, save lives.  Through the PEPFAR Coordination Office, the U.S. Embassy in Kinshasa administers this Community grants program and is seeking proposals from registered local Community-based organizations and other civil society groups, networks of key populations (KP), people living with HIV (PLHIV), youth and adolescents including children and other HIV-affected groups, or community entities that gather quantitative and qualitative data about HIV services and whose mission and activities focuses on HIV programming.  CLM plays key role to ensuring availability, accessibility, affordability, acceptability, and delivery of timely and quality HIV care and services. CLM will raise public awareness on the rights of PLHIV, KP groups, youth and adolescents and other affected communities, will empower beneficiaries and affected communities to speak out, to increase health literacy, to expand engagement with health service providers, to support demand creation, on one hand; and on the other hand, CLM will hold decisions makers accountable for executing changes to improve HIV service delivery. CLM data will be collected using standardized tools and synthesized through a variety of methods that reveal insights from communities about problems and solutions to health and HIV service delivery at: the facility, community, sub-national and national levels. Thus, CLM data builds evidence on what works well, what is not working and what needs to be improved, with suggestions for targeted action to improve outcomes. Monitoring data should reflect an â€˜added valueâ€™ and not duplicate collection of routine data already available to PEPFAR, through its standard reporting. â€˜Added valueâ€™ monitoring data includes, but not limited to information from beneficiaries about their experience with the health facility, information about barriers and enablers to access and retention in services etc. CLM mechanisms must be routine to ensure follow up and continuous improvement for sustainability.  Results from CLM will be shared with all the stakeholders including host governments, health systems, PEPFAR implementing partners and the PEPFAR team on a regular and systematic basis (monthly, quarterly, and annually), for informing decisions, to improve time and quality service delivery.</t>
  </si>
  <si>
    <t>Rehabilitation Research and Training Center (RRTC) on Employment Among People with Intellectual and Developmental Disabilities</t>
  </si>
  <si>
    <t>The purpose of the RRTCs, which are funded through the Disability and Rehabilitation Research Projects and Centers Program, is to achieve the goals of, and improve the effectiveness of, services authorized under the Rehabilitation Act through well-designed research, training, technical assistance, and dissemination activities in important topical areas as specified by NIDILRR. These activities are designed to benefit people with disabilities, family members, rehabilitation service providers, policymakers and other research stakeholders.  The purpose of this particular RRTC is to conduct research, training, technical assistance, and related activities to contribute to improved employment outcomes among people with intellectual and developmental disabilities. NIDILRR plans to make one grant under this opportunity. The grant will have a 60-month project period, with five 12-month budget periods.</t>
  </si>
  <si>
    <t>Promoting Transparency and Safeguarding the Rule of Law</t>
  </si>
  <si>
    <t>Others (see text field entitled "Additional Information on Eligibility" for clarification) Not-for-profit organizations based in the Slovak Republic, including civil society/ nongovernmental organizations and think tanks, educational institutions, and media outlets
are eligible to apply.</t>
  </si>
  <si>
    <t>The U.S. Embassy in Bratislava announces an open competition for organizations to submit applications to carry out a program to strengthen the rule of law, promote transparency, and bolster civil society in Slovakia. 
These projects will address critical areas, including:
1) Monitoring anticorruption progress and law enforcement efforts by evaluating advancement in anticorruption measures and supporting reforms related to conflict of interest prevention, public procurement transparency, or public interest legislation;
2) Examining ongoing efforts in judicial, prosecution service, and law enforcement reform and evaluating further reforms to enhance the judiciaryâ€™s independence and strengthen capacities to counter economic crime and corruption;
3) Increasing public sector transparency and strengthening the capacity, accountability, and independence of judges, prosecutors, investigators, and oversight institutions;
4) Empowering citizens to address corruption by strengthening public participation, enhancing whistleblower protections, and raising public awareness about corruption;
5) Promoting civil society engagement and dialogue with the government, the judiciary, and the prosecution service;
6) Strengthening anti-corruption communities at the municipal and regional level to improve public control and citizen participation;
7) Building civil society capacities and resilience to effectively serve as watchdogs and ensure their sustainable, long-term operation.
More information and instructions available at the website of the U.S. Embassy Bratislava (sk.usembassy.gov, Education and Culture, Public Affairs Section Grant Opportunities).</t>
  </si>
  <si>
    <t>Rehabilitation Research and Training Center (RRTC) on Employment Among Transition-Age Youth with Disabilities</t>
  </si>
  <si>
    <t>Small businesses States; public or private agencies, including for-profit agencies; public or private organizations, including for-profit organizations; IHEs; and Indian tribes and tribal organizations. Foreign entities are not eligible to compete for, or receive, awards made under this announcement. Faith-based and community organizations that meet the eligibility requirements are eligible to receive awards under this funding opportunity announcement.</t>
  </si>
  <si>
    <t>The purpose of the RRTCs, which are funded through the Disability and Rehabilitation Research Projects and Centers Program, is to achieve the goals of, and improve the effectiveness of, services authorized under the Rehabilitation Act through well-designed research, training, technical assistance, and dissemination activities in important topical areas as specified by NIDILRR. These activities are designed to benefit people with disabilities, family members, rehabilitation service providers, policymakers and other research stakeholders.  The purpose of this particular RRTC is to conduct research, training, technical assistance, and related activities to contribute to improved employment outcomes among transition-age youth with disabilities. NIDILRR plans to make one grant under this opportunity. The grant will have a 60-month project period, with five 12-month budget periods.</t>
  </si>
  <si>
    <t>FY2024 Elder Justice Innovations Grant - Option 2</t>
  </si>
  <si>
    <t>Unrestricted (i.e., open to any type of entity above), subject to any clarification in text field entitled "Additional Information on Eligibility" Foreign entities are not eligible to compete for, or receive, awards made under this announcement.</t>
  </si>
  <si>
    <t>The purpose of the EJIG program is to support the development and advancement of new and emerging issues related to elder justice. The funded project under this opportunity will support the replication and further validation of evidence-informed elder abuse intervention strategies that promote goal attainment scaling, restorative justice, and person-centeredness, specifically the Repair harm; Inspire change; Support connection; Empower choice (RISE) model.</t>
  </si>
  <si>
    <t>FY 2024 Competitive Funding Opportunity: Passenger Ferry Grant Program</t>
  </si>
  <si>
    <t>DOT-FTA</t>
  </si>
  <si>
    <t>DOT/Federal Transit Administration</t>
  </si>
  <si>
    <t>State governments Eligible applicants under this program must be designated recipients or eligible direct recipients of Section 5307 funds, which include public entities engaged in providing a public transportation passenger ferry service in urban areas that are eligible to be direct recipients.</t>
  </si>
  <si>
    <t xml:space="preserve">The Federal Transit Administration (FTA) announces the opportunity to apply for $51 million in competitive grants under the Fiscal Year (FY) 2024 Passenger Ferry Grant Program (PFG) (Federal Assistance Listing #20.532). Of that amount, $5 million is available only for low or zero-emission ferries or ferries using electric battery or fuel cell components and the infrastructure to support such ferries. As required by Federal public transportation law, funds will be awarded competitively to designated recipients or eligible direct recipients of Urbanized Area Formula funds to support capital projects to improve existing passenger ferry service, establish new ferry service, and repair and modernize ferry boats, terminals, and related facilities and equipment. </t>
  </si>
  <si>
    <t>FY 2024 Competitive Funding Opportunity: Electric or Low-Emitting Ferry Pilot Program</t>
  </si>
  <si>
    <t>Native American tribal governments (Federally recognized) Eligible applicants under this program are any eligible recipient of 5307 or 5311 funding.</t>
  </si>
  <si>
    <t xml:space="preserve">The Federal Transit Administration (FTA) announces the opportunity to apply for $49 million in competitive grants under the Fiscal Year (FY) 2024 Electric or Low-Emitting Ferry Pilot Program (ELEF) (Federal Assistance Listing #20.532). ELEF makes funding available competitively to assist in the financing of capital projects for the purchase of electric or low-emitting ferry vessels that reduce emissions by using alternative fuels or on-board energy storage systems and related charging infrastructure to reduce emissions or produce zero onboard emissions under normal operation. </t>
  </si>
  <si>
    <t>FY 2024 Competitive Funding Opportunity: Ferry Service for Rural Communities Program</t>
  </si>
  <si>
    <t>Others (see text field entitled "Additional Information on Eligibility" for clarification) Eligible applicants under this program are States and territories in which eligible service is operated.</t>
  </si>
  <si>
    <t xml:space="preserve">The Federal Transit Administration (FTA) announces the opportunity to apply for $216 million in competitive grants under the Fiscal Year (FY) 2024 Ferry Service for Rural Communities Program (FSRC) (Federal Assistance Listing #20.532). FSRC makes funding available competitively to assist in the financing of capital, planning, and operating assistance for eligible ferry services. </t>
  </si>
  <si>
    <t>USGS Cooperative Landslide Hazard Mapping and Assessment Program</t>
  </si>
  <si>
    <t>County governments This Announcement is open to state, Tribal, territorial, and local governments. A university may submit a proposal on behalf of a state geological survey or other state office if they are organized under a university system.</t>
  </si>
  <si>
    <t>The U.S. Geological Survey (USGS) Landslide Hazards Program (LHP) issues this Program Announcement for assistance to support communication, planning, coordination, mapping, assessments, and data collection of landslide hazards. The program announcement for the Cooperative Landslide Hazard Mapping and Assessment Program is authorized by the National Landslide Preparedness Act (P.L. 116-323) and appropriations to the USGS.A main objective of this Program, as outlined in the National Landslide Preparedness Act, is to provide grants, on a competitive basis, to state, territorial, local, and Tribal governments to research, map, assess, and collect data on landslide hazards within the jurisdictions of those governments. This funding opportunity, USGS Cooperative Landslide Hazard Mapping and Assessment Program, solicits Risk Reduction Proposals as described in this document.</t>
  </si>
  <si>
    <t>DRL Addressing Gender Based Violence in Kosovo</t>
  </si>
  <si>
    <t>The U.S. Department of State, Bureau of Democracy, Human Rights, and Labor (DRL) announces an open competition for organizations interested in submitting applications for projects that increase protections against gender-based violence for marginalized communities in Kosovo.</t>
  </si>
  <si>
    <t>Family Self-Sufficiency Demonstration Development Phase 2 Awards</t>
  </si>
  <si>
    <t>Others (see text field entitled "Additional Information on Eligibility" for clarification) Eligibility is restricted to applicants that received awards funded under HHS-2021-ACF-OPRE-PE-1944 (Family Self-Sufficiency Demonstration Development Grants).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</si>
  <si>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Office of Planning, Research, and Evaluation (OPRE) within the Administration for Children and Families (ACF) is soliciting applications for the Family Self-Sufficiency Demonstration Development (FSSDD) Phase 2 Awards (note that all instances of the term â€œcontinuationâ€ that appear throughout the NOFO refer to Phase 2 of the program). Entities who were awarded the initial award (HHS-2021-ACF-OPRE-PE-1944) are eligible to apply for this current cooperative agreement.During the initial award, recipients conducted foundational evidence capacity-building activities relevant to their interventions. During this continuation award, recipients will continue building on the progress they made during the initial award. The FSSDD Phase 2 award has two main purposes. The first purpose is to support recipients in building their internal evidence capacity to strengthen evidence-informed program services and improve outcomes for the families they serve. The second purpose is for recipients to contribute to the evidence on interventions serving families with children who are eligible for or at risk of becoming eligible for Temporary Assistance for Needy Families (TANF). Recipients will also develop clear plans for sustaining an evidence-driven organizational culture beyond the funding period of the award and will share project learnings and implications with appropriate research, policy, and practice audiences. Recipients are required to work with a federally funded, third-party technical assistance provider throughout the entirety of the award.</t>
  </si>
  <si>
    <t>Enhancing IP Frameworks for a Secure Semiconductor Ecosystem</t>
  </si>
  <si>
    <t>To implement a project aimed at advancing U.S. foreign policy and national security priorities by supporting initiatives that make decision-making structures and processes in fragile, conflict, or crisis-affected contexts more reflective of and responsive to the needs and perspectives of partner states to ensure strategic trade control systems meet international standards and by engaging on bilateral, regional and multilateral levels with foreign governments to aid in the establishment of independent capabilities to regulate transfers of weapons of mass destruction, WMD-related items, conventional arms, and related dual-use items, and to detect, interdict, investigate, and prosecute illicit transfers of such items.</t>
  </si>
  <si>
    <t>Fiscal Year 2024 Highway Construction Training Program Grants</t>
  </si>
  <si>
    <t>Others (see text field entitled "Additional Information on Eligibility" for clarification) In accordance with 23 U.S.C. 504(f), eligible Applicants are educational institutions and State Departments of Transportation (DOTs).For the purposes of the this opportunity,  educational institutions  means any public or private secondary school, or any institution of vocational, professional, or higher education operated or directly supported by the United States; operated or directly supported by any State or local government or by a political subdivision of any State or local government; or approved by a State agency or subdivision of the State, or accredited by a State-recognized or nationally recognized accrediting body. The term  State DOT  means the  department, commission, board, or official of any State charged by its laws with the responsibility for highway construction.  23 U.S.C. 101(31).</t>
  </si>
  <si>
    <t>NOTE: Please refer to the "Related Documents" tab for the full text of the NOFO. FHWA highly recommends interested applicants "Subscribe" to this opportunity to allow Grants.gov to send notifications to those parties concerning changes or updates to this NOFO.
NOFO Amendment 1 Summary (Posted 4/25/2024): The purpose of this amendment is to provide the link and updated date and time information for this NOFO's Informational Webinar. The webinar will be held on 5/2/2024 from 2:00PM - 3:00PM (Eastern), and can be accessed via the following link:
https://usdot.zoomgov.com/j/1612256897?pwd=bGZmMHJEU2dUTWFIeFkzTG5LQmRMdz09
[END OF AMENDMENT 1 SUMMARY] 
Original NOFO Synopsis Summary (Posted 4/17/2024): The purpose of this NOFO is to solicit applications for the Highway Construction Training Program (HCTP) to award highway construction workforce development grants. The NOFO will result in the distribution of up to $4,226,871.
The purposes of the HCTP as described in 23 U.S.C. 504(f) are to:
1) Develop, test, and review new curricula and education programs to train individuals at all levels of the transportation workforce; and
2) To implement the new curricula and education programs to provide for hands-on career opportunities to meet current and future needs.
As further described in 23 U.S.C. 504(f)(2), in making grants, FHWA may consider the extent to which the project will:
A) Develop new curricula or education program to meet the specific current or future needs of a segment of the transportation industry, States, or regions.
B) Provide for practical experience and on-the-job training.
C) Be oriented toward practitioners in the field rather than the support and growth of the research community.
D) Provide for new curricula or programs that will provide training in areas other than engineering, such grants as business administration, economics, information technology, environmental science, and law.
E) Provide programs or curricula that train professionals for work in the transportation field, such as construction materials, information technology, environmental science, urban planning, and industrial or emerging technology.
F) Demonstrate the commitment of industry or a State DOT to the program.</t>
  </si>
  <si>
    <t>Small Business Innovation Research (SBIR) Program for CHIPS For America   CHIPS Metrology</t>
  </si>
  <si>
    <t>Others (see text field entitled "Additional Information on Eligibility" for clarification) Additional Information on Eligibility: Each organization submitting an application must qualify at the time of the award as a small business concern as defined by the Small Business Administration. Foreign entities are not eligible to compete for, or receive, awards made under this announcement.</t>
  </si>
  <si>
    <t>The Small Business Innovation Research (SBIR) Program for CHIPS for America â€“ CHIPS Metrology seeks applications from eligible applicants to explore the technical merit or feasibility of an innovative idea or technology with the aim of developing a viable product or service that will be introduced to the commercial microelectronics marketplace. This NOFO contains multiple topics on research projects for critically needed measurement services, tools, and instrumentation; innovative manufacturing metrologies; novel assurance and provenance technologies and advanced metrology research and development (R D) testbeds to help secure U.S. leadership in the global semiconductor industry.</t>
  </si>
  <si>
    <t>Ambassador s Special Self-Help Fund (ASSHF)</t>
  </si>
  <si>
    <t>DOS-RWA</t>
  </si>
  <si>
    <t>U.S. Mission to Rwanda</t>
  </si>
  <si>
    <t>Others (see text field entitled "Additional Information on Eligibility" for clarification)  Non-Profit Organizations  Schools  Non-Governmental Organizations (NGOs),  Community Based Organizations (CBOs),  Faith Based Organizations (FBOs)  Orphanages  Health Facilities   Cooperatives</t>
  </si>
  <si>
    <t xml:space="preserve">Total Amount Available: Dependent on availability of funds. 
A. INTRODUCTION 
U.S. Embassy Kigali announces an open competition for organizations to submit applications to carry out a program to support their local communities. All projects should be community based, locally initiated, and foster community self-reliance. Please follow all instructions below. 
Program Objectives:  
The Ambassadorâ€™s Special Self-Help (SSH) Program is a small grant program that seeks to reduce poverty and hunger in sub-Saharan Africa. These community development efforts promote self-reliance through significant local contributions and sustainability requirements. Over the last 10 years, the Department of State provided $2 million each year to support SSH projects in 47 countries across the continent. 
This year U.S. Embassy Kigali is seeking applications for projects which will: 
1) Improve basic economic and social conditions at the grassroots level. 
2) Support high-impact activities that benefit many people. 
3) Involve local contribution in cash, labor, and/or material. 
4) Have local support and be within the ability of the local community to operate and maintain. 
5) Be completed within 12 months. 
Projects must be led by members of the local community. Proposed projects focusing on assistance to women and children, or members of the disabled community, are particularly encouraged. Projects must benefit a large group of people rather than only a few individuals. For example, a rainwater catchment system at a school is eligible, while one at a home is not. The applicant should budget for any anticipated costs associated with the proposed project for which the applicant seeks funding. Possible costs include equipment, materials, labor, installation costs, fees, necessary environmental assessments, etc. Funding restrictions are listed below in section D. 
Participants and Audiences: 
This grant opportunity is open only to cooperatives registered with the Rwanda Cooperative Agency or non-governmental organizations (NGOs) registered with the Rwanda Governance Board (RGB). 
B. FEDERAL AWARD INFORMATION 
 Length of performance period 
12 months or less 
Number of awards anticipated 
Approximately 4-7 awards (dependent on funding and amounts) 
Award amounts 
Awards may range from a minimum of $1,000 to a maximum of $15,000 
Anticipated program start date 
September 30, 2024 
This notice is subject to availability of funding. 
Funding Instrument Type: Grant 
C. ELIGILIBITY INFORMATION 
1. Eligible Applicants: The following organizations are eligible to apply: 
Â· Cooperatives registered with the Rwanda Cooperative Agency. 
Â· Nongovernmental organizations registered with the Rwanda Governance Board (RGB). 
2. Cost Sharing or Matching: Cost sharing or matching is not required and will not be evaluated during the merit review. However, projects must be organized and led by the community, and the community must contribute to the project via funds, sweat equity (labor), or volunteered time. 
D. FUNDING RESTRICTIONS 
Award funds cannot be used for any of the following purposes:  
Â· To pay Rwandan taxes 
Â· To construct a building 
Â· For religious organizations to conduct religious activities 
Â· For military activities 
Â· For activities relating to police, prisons, or other law enforcement 
Â· For toxic or otherwise unsafe products such as pesticides, fungicides, herbicides, or hazardous chemicals 
Â· For revolving loans 
Â· For seed money for new enterprises 
Â· For alcohol 
E. APPLICATION AND SUBMISSION INFORMATION 
The application must contain the information listed below. Incomplete applications will not be considered. Please use the form provided. The proposal must clearly address the goals and objectives of this funding opportunity. All documents should be in English. All budgets must be in U.S. dollars. 
Please follow all instructions below carefully. Proposals that do not meet the requirements of this announcement may be found ineligible. 
The following documents are required: 
 Proposal (five pages maximum): The proposal should contain sufficient information that anyone not familiar with it would understand exactly what the applicant wants to do. Please use the form provided. This document should not exceed five pages. 
 Budget Guidelines (included in the form provided):  
Â· Personnel and Fringe Benefits: Describe the wages, salaries, and benefits of temporary or permanent staff who will be working directly for the applicant on the program and list the percentage of their time that will be spent on the program.  
Â· Travel: Estimate the costs of travel and per diem for program staff, consultants or speakers, and participants/beneficiaries. If the program involves international travel, include a brief statement of justification for that travel.  
Â· Equipment: Describe any machinery, furniture, or other personal property that is required for the program, has a useful life of more than one year (or a life longer than the duration of the program), and costs at least $5,000 per unit. 
Â· Supplies: List and describe all the items and materials, including any computer devices, that are needed for the program. If an item costs more than $5,000 per unit, then put it in the budget under Equipment.  
Â· Contractual: Describe goods and services the applicant plans to acquire through a contract with a vendor. Also describe any sub-awards to non-profit partners that will help carry out the program activities.  
Â· Other Direct Costs: Describe other costs that are directly associated with the program but do not fit in the other categories. For example, list shipping costs for materials and equipment or applicable taxes. All â€œOtherâ€ or â€œMiscellaneousâ€ expenses must be itemized and explained. 
Â· Indirect Costs: These are costs that cannot be linked directly to the program activities, such as overhead costs needed to help keep the organization operating. If your organization has a Negotiated Indirect Cost Rate (NICRA) and includes NICRA charges in the budget, attach a copy of your latest NICRA. Organizations that have never had a NICRA may request indirect costs of 10% of the modified total direct costs as defined in 2 CFR 200.68.  
Â· â€œCost Sharingâ€ refers to contributions from the organization or entities other than the U.S. Embassy. It also includes in-kind contributions such as volunteersâ€™ time and donated venues. 
 Attachments:  
Â· Proof of registration with the Rwanda Cooperative Agency or Rwanda Governance Board.  
Â· 1-page CV or resume for each key staff member who will oversee implementation of the proposed program. 
Â· Letters of support from program partners (if applicable) describing the roles and responsibilities of each partner. 
Â· Official permission letters, if required for program activities. 
Application Submission: The grant application package should be emailed to KigaliASGP@state.gov by 12:00 PM Kigali time on May 31, 2024 with â€œProposal for ASSH Fundsâ€ in the subject line. Applications received after the deadline will not be considered. 
A review committee will evaluate all eligible applications against the criteria listed above.  
F. FEDERAL AWARD ADMINISTRATION INFORMATION 
The grant award or cooperative agreement will be written, signed, awarded, and administered by the Grants Officer. The assistance award agreement is the authorizing document and it will be provided to the recipient for review and signature by email. The recipient may only start incurring program expenses beginning on the start date shown on the grant award document signed by the Grants Officer. 
If a proposal is selected for funding, the Department of State has no obligation to provide any additional future funding. Renewal of an award to increase funding or extend the period of performance is at the discretion of the Department of State.  
Issuance of this NOFO does not constitute an award commitment on the part of the U.S. government, nor does it commit the U.S. government to pay for costs incurred in the preparation and submission of proposals. Further, the U.S. government reserves the right to reject any or all proposals received. 
G. FEDERAL AWARDING AGENCY CONTACTS 
If you have any questions about the grant application process, please contact: KigaliASGP@state.gov. 
H. OTHER INFORMATION (IF SELECTED) 
Payment Method: Request for payment will be submitted through a SF-270. Payments shall be disbursed via electronic fund transfer (EFT) upon receipt of a signed SF-270 form and required reporting. 
Reporting Requirements: If selected, recipients will be required to submit financial reports and program reports. These will be due quarterly. The financial reports will use form SF-425, which is available on grants.gov, and the programmatic reports will provide a brief narrative on the projectâ€™s successes, challenges, and next steps and will specify the number of beneficiaries. The award document will specify how often these reports must be submitted.  
 SF-424 (Application for Federal Assistance â€“ organizations) at grants.gov 
 SF-424A (Budget Information for Non-Construction programs) at grants.gov 
 SF-424B (Assurances for Non-Construction programs) at grants.gov (note: the SF-424B is only required for organizations not registered in SAM.gov) 
Additional Requirements: 
Â· Organizations must 1) register on SAM.gov and 2) have an active Unique Entity ID (UEI) before grants can be awarded. For further information about SAM.gov registration and how to obtain a UEI, please refer to this guide. 
Â· All final proposals will require measurable results and indicators. The U.S. Embassy will regularly monitor the progress of any approved and funded projects. 
Â· Additional documentation will be required if selected.  
 </t>
  </si>
  <si>
    <t>FY24 COPS School Violence Prevention Program</t>
  </si>
  <si>
    <t>Independent school districts States, units of local government, Indian tribes, and their public agencies are eligible to apply. See additional eligibility details under the Eligibility section of this solicitation.</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</si>
  <si>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has been appropriated more than $20 billion to advance community policing, including grants awarded to more than 13,000 state, local and tribal law enforcement agencies to fund the hiring and redeployment of more than 136,000 officers. COPS Office information resources, covering a wide range of community policing topics such as school and campus safety, violent crime, and officer safety and wellness, can be downloaded via the COPS Officeâ€™s home page, https://cops.usdoj.gov. 
The COPS Office School Violence Prevention Program (SVPP) provides funding directly to states, units of local government, Indian tribes, and their public agencies to improve security at schools and on school grounds in the recipientâ€™s jurisdiction through evidence-based school safety programs. 
The COPS Office is committed to advancing work that promotes civil rights and equity, increases access to justice, supports crime victims and individuals impacted by the justice system, strengthens community safety and protects the public from crime and evolving threats, and build trust between law enforcement and the community. Statutory Authority
This program is authorized under the Students, Teachers, and Officers Preventing (STOP) School Violence Act of 2018 (34 U.S.C. Â§ 10551 et seq.).
Pursuant to 34 U.S.C. Â§ 10551(b)(5)â€“(9), SVPP funding is authorized and available under the following purpose areas:
â€¢	â€œCoordination with local law enforcementâ€
â€¢	â€œTraining for local law enforcement officers to prevent student violence against others and selfâ€
â€¢	â€œPlacement and use of metal detectors, locks, lighting, and other deterrent measuresâ€ 
â€¢	â€œAcquisition and installation of technology for expedited notification of local law enforcement during an emergencyâ€
â€¢	â€œAny other measure that, in the determination of the COPS Office Director, may provide a significant improvement in securityâ€
All awards are subject to the availability of appropriated funds and any modifications or additional requirements that may be imposed by law.</t>
  </si>
  <si>
    <t>BJA FY24 Intellectual Property Enforcement Program: Protecting Public Health, Safety, and the Economy from Counterfeit Goods and Product Piracy</t>
  </si>
  <si>
    <t>Others (see text field entitled "Additional Information on Eligibility" for clarification) Units of local government, such as towns, boroughs, parishes, villages, or other general purpose political subdivisions of a State. State, local, tribal, municipal, or campus law enforcement agencies, to include prosecutors.</t>
  </si>
  <si>
    <t>With this solicitation, BJA seeks to support law enforcement agencies that have an intellectual property (IP) enforcement task force or plan to create one. The Intellectual Property Enforcement Program assists state, local, and tribal jurisdictions in preventing and reducing intellectual property theft and related crime as well as supporting law enforcement in investigating and prosecuting IP crimes and reducing violent crime associated with IP cases and investigations.</t>
  </si>
  <si>
    <t>Ryan White HIV/AIDS Program Part C Early Intervention Services Program: Existing Geographic Service Areas</t>
  </si>
  <si>
    <t>State governments This competition is open to current recipients and new eligible applicants proposing to provide comprehensive primary health care and support services in outpatient settings for low income, uninsured, and underserved people with HIV in the service areas as described in Appendix C. You can apply if your organization is in the United States and if your organization is a public or non-profit private entity and, as identified in section 2652(a)(1) of the PHS Act, are one of the following types:  Federally-qualified health centers under section 1905(1)(2)(B) of the Social Security Act;  Grant recipients under section 1001 of the PHS Act (regarding family planning) other than States;  Comprehensive hemophilia diagnostic and treatment centers;  Rural health clinics;  Health facilities operated by or pursuant to a contract with the Indian Health Service;  Community-based organizations, clinics, hospitals, and other health facilities that provide early intervention services to people who contracted HIV through intravenous drug use; or  Nonprofit private entities that provide comprehensive primary care services to populations at risk of HIV, including faith-based and community-based organizations.  Native American tribal governments and organizations are eligible.</t>
  </si>
  <si>
    <t>HRSA-25-002, HRSA-25-003, and HRSA-25-004 announces the opportunity to apply for funding under Ryan White HIV/AIDS Program (RWHAP) Part C Early Intervention Services (EIS) Program: Existing Geographic Service Areas. The purpose of this program is to provide comprehensive primary health care and support services in an outpatient setting for low-income people with HIV. Under this announcement, successful applicants must provide: (1) counseling for individuals with respect to HIV; (2) targeted HIV testing; (3) periodic medical evaluations of individuals with HIV and clinical and diagnostic services for HIV care and treatment; (4) therapeutic measures for preventing and treating the deterioration of the immune system, and for preventing and treating conditions arising from HIV; and (5) referrals for people with HIV to appropriate providers of health care and support services. These services are to be provided directly or through referrals, contracts, or memoranda of understanding (MOUs). This competition is open to current RWHAP Part C EIS recipients and new organizations proposing to provide RWHAP Part C EIS funded services in the geographic service areas listed in Appendix C. Please note that there are 3 funding announcement numbers included in this document with 3 different periods of performance (See Appendix C). If you are applying for more than one service area, you must submit a separate application for each proposed service area. All allowable services must relate to HIV diagnosis, care, and support, and must adhere to established HIV clinical practice standards consistent with U.S. Department of Health and Human Services (HHS) Guidelines. Please refer to the HIV/AIDS Bureau (HAB) Policy Clarification Notice (PCN) 16-02 Ryan White HIV/AIDS Program Services for a list of RWHAP allowable core medical and support services and their descriptions. According to the RWHAP Part C statute: â€¢ At least 50 percent of the amount received under the award must be expended on EIS costs (except counseling and referrals/linkage to care); â€¢ At least 75 percent of the award (after reserving amounts for administrative costs, planning/evaluation, and clinical quality management (CQM)) must be expended on core medical services costs (Please note: EIS is a subset of this 75 percent of the award) and; â€¢ Not more than 10 percent of the total RWHAP Part C award funds can be expended on administrative costs. Applicants seeking a waiver to the core medical services requirement must submit a waiver request with this application as Attachment 15. For more details, see Program Requirements and Expectations.</t>
  </si>
  <si>
    <t>County governments This competition is open to current recipients and new eligible applicants proposing to provide comprehensive primary health care and support services in outpatient settings for low income, uninsured, and underserved people with HIV in the service areas as described in Appendix C. You can apply if your organization is in the United States and if your organization is a public or non-profit private entity and, as identified in section 2652(a)(1) of the PHS Act, are one of the following types:  Federally-qualified health centers under section 1905(1)(2)(B) of the Social Security Act;  Grant recipients under section 1001 of the PHS Act (regarding family planning) other than States;  Comprehensive hemophilia diagnostic and treatment centers;  Rural health clinics;  Health facilities operated by or pursuant to a contract with the Indian Health Service;  Community-based organizations, clinics, hospitals, and other health facilities that provide early intervention services to people who contracted HIV through intravenous drug use; or  Nonprofit private entities that provide comprehensive primary care services to populations at risk of HIV, including faith-based and community-based organizations.  Native American tribal governments and organizations are eligible.</t>
  </si>
  <si>
    <t>Others (see text field entitled "Additional Information on Eligibility" for clarification) This competition is open to current recipients and new eligible applicants proposing to provide comprehensive primary health care and support services in outpatient settings for low income, uninsured, and underserved people with HIV in the service areas as described in Appendix C. You can apply if your organization is in the United States and if your organization is a public or non-profit private entity and, as identified in section 2652(a)(1) of the PHS Act, are one of the following types:  Federally-qualified health centers under section 1905(1)(2)(B) of the Social Security Act;  Grant recipients under section 1001 of the PHS Act (regarding family planning) other than States;  Comprehensive hemophilia diagnostic and treatment centers;  Rural health clinics;  Health facilities operated by or pursuant to a contract with the Indian Health Service;  Community-based organizations, clinics, hospitals, and other health facilities that provide early intervention services to people who contracted HIV through intravenous drug use; or  Nonprofit private entities that provide comprehensive primary care services to populations at risk of HIV, including faith-based and community-based organizations.  Native American tribal governments and organizations are eligible.</t>
  </si>
  <si>
    <t>FY 2024 Notice of Funding Opportunity for NGO Programs Advancing Interim and Durable Solutions</t>
  </si>
  <si>
    <t>DOS-PRM</t>
  </si>
  <si>
    <t>Bureau of Population Refugees and Migration</t>
  </si>
  <si>
    <t>Others (see text field entitled "Additional Information on Eligibility" for clarification) i. Nonprofits having a 501(c)(3) status with the IRS, other than institutions of higher education ii. Nonprofits that do not have a 501(c)(3) status with the IRS, other than institutions of higher education iii. International Organizations.  International multilateral organizations, such as United Nations agencies, should not submit proposals through Grants.gov in response to this Notice of Funding Opportunity announcement.  Multilateral organizations that are seeking funding for programs relevant to this announcement should contact the PRM Program Officer (as listed below) on or before the closing date of the funding announcement. iv. Private, Public, and State controlled institutions of higher education.</t>
  </si>
  <si>
    <t>This announcement is designed to accompany PRMâ€™s General NGO Guidelines, which contain additional information on PRMâ€™s priorities and NGO funding strategy with which selected organizations must comply. Please use both the General NGO Guidelines and this announcement to ensure that your submission is in full compliance with PRM requirements and that the proposed activities are in line with PRMâ€™s priorities. Submissions that do not reflect the requirements outlined in these guidelines will not be considered. Proposed activities must contribute to global learning and/or advancement of best practices on interim and durable solutions for refugees, asylum seekers, and/or stateless persons. Specifically, this NOFO seeks proposals addressing one of three themes: Self-reliance, Statelessness, or Innovation.Durable solutions end an individualâ€™s refugee or stateless status, such as through voluntary return and reintegration, local integration, or resettlement in another country. Given that access to durable solutions remains limited for a majority of refugees and stateless persons and the timeframe to access a durable solution is often protracted and uncertain, PRM also supports access to interim solutions. Interim solutions can be understood as efforts that support inclusion in host country national services such as health care, education, or sustainable housing. It may also, for instance, contribute to self-reliance by supporting access to labor markets and livelihoods, or advance measures that contribute to durable solutions such as identity documentation or addressing freedom of movement.Applicants with technical questions related to this announcement should contact the PRM staff listed below prior to submission.Statelessness: Carmen Wilke, wilkecl@state.govSelf-Reliance: Ellen Lee, leeek3@state.govInnovation: Katherine Armeier, armeierk@state.gov</t>
  </si>
  <si>
    <t>Fiscal Year 2024 Homeland Security Grant Program (HSGP)</t>
  </si>
  <si>
    <t>DHS-DHS</t>
  </si>
  <si>
    <t>Department of Homeland Security - FEMA</t>
  </si>
  <si>
    <t>Others (see text field entitled "Additional Information on Eligibility" for clarification) State Administrative Agencies</t>
  </si>
  <si>
    <t>The Fiscal Year (FY) 2024 Homeland Security Grant Program (HSGP) is one of three grant programs part of a comprehensive set of measures authorized by Congress and implemented by DHS to help strengthen the nationâ€™s communities against potential terrorist attacks. The purpose of the HSGP is to support state and local efforts to prevent terrorism and other catastrophic events and to prepare the Nation for the threats and hazards that pose the greatest risk to the security of the United States. The HSGP provides funding to implement investments that build, sustain, and deliver the 32 core capabilities essential to achieving the National Preparedness Goal of a secure and resilient Nation. Among the five basic homeland security missions noted in the DHS Quadrennial Homeland Security Review, HSGP supports the goal to Strengthen National Preparedness and Resilience. The building, sustainment, and delivery of these core capabilities are not exclusive to any single level of government, organization, or community, but rather, require the combined effort of the whole community. The HSGP comprises the State Homeland Security Program (SHSP), Urban Area Security Initiative (UASI), and Operation Stonegarden (OPSG). Applicants can submit applications for this funding opportunity through FEMA Grants Outcomes (GO). Access the system at https://go.fema.gov/.</t>
  </si>
  <si>
    <t>Space Grant Opportunities in NASA STEM FY2025-2028</t>
  </si>
  <si>
    <t>NASA</t>
  </si>
  <si>
    <t>National Aeronautics and Space Administration</t>
  </si>
  <si>
    <t xml:space="preserve">Others (see text field entitled "Additional Information on Eligibility" for clarification)  Proposals will only be accepted from the lead institution of Space Grant consortia in each state along with the District of Columbia and the Commonwealth of Puerto Rico.  NASA will only accept one proposal per consortium.  For a list of eligible Space Grant lead institutions and Space Grant Directors, visit:https://www.nasa.gov/stem/spacegrant/home/Space_Grant_Consortium_Websites.html </t>
  </si>
  <si>
    <t>The National Aeronautics and Space Administration (NASA)â€™s Office of Science, Technology, Engineering, and Mathematics (OSTEM) Engagement solicits proposals for the National Space Grant College and Fellowship Program (Space Grant) Space Grant Opportunities in NASA STEM FY2025-2028. Each funded proposal is expected to define a comprehensive consortium program devoted to increasing student and youthâ€™s understanding of space and aeronautics and to executing the assessment, development, and utilization of resources to bolster the STEM pipeline for aerospace. The funding opportunity is intended to provide four years of funding via an educational cooperative agreement.</t>
  </si>
  <si>
    <t>Securing Microelectronics Supply Chain in Singapore and Malaysia</t>
  </si>
  <si>
    <t>To implement a project aimed at advancing U.S. foreign policy and national security priorities by supporting initiatives that ensure partner statesâ€™ strategic trade control systems meet international standards and by engaging on bilateral, regional and multilateral levels with foreign governments to aid in the establishment of independent capabilities to regulate transfers of weapons of mass destruction, WMD-related items, conventional arms, and related dual-use items, and to detect, interdict, investigate, and prosecute illicit transfers of such items.</t>
  </si>
  <si>
    <t>FY 2024 and FY 2025 Region 2 Source Reduction Assistance in Communities Grants</t>
  </si>
  <si>
    <t>EPA Region 2 is issuing this funding opportunity to fund Source Reduction Assistance in Communities (SRAC) grants that support research, investigation, experiments, multi-media service-learning approaches, studies, demonstrations, outreach, education, and training using source reduction approaches. EPA is particularly interested in receiving applications that offer hands-on practical pollution prevention referred to as "P2" tools, information and/or innovative P2 multi-media service-learning approaches to measurably improve public health and the surrounding environment, by reducing the use of hazardous substances, reducing toxic pollutants, supporting efficiencies in reducing resource use (e.g., water and energy), and reducing business expenditures and liability costs.EPA Region 2 is interested in receiving applications for results-oriented and multi-media community based projects that are performed in and benefit States or communities within EPA Region 2 (New York, New Jersey, Puerto Rico, U.S. Virgin Islands, and eight federally recognized Indian Nations). These applications should create, promote, and use new and/or existing P2 tools and information, green technology solutions, innovative financing partnerships or approaches, and multi-media and multistakeholder leadership approaches to measurably improve public health and the environment, by reducing the use of hazardous substances, reducing toxic pollutants, or supporting efficiencies in the reduction of pre-consumer resources (such as greenhouse gas emissions, plastics, water, and energy), and reducing beneficiary organization costs.</t>
  </si>
  <si>
    <t>DoD Ovarian Cancer, Ovarian Cancer Clinical Trial Academy   Early-Career Investigator Award</t>
  </si>
  <si>
    <t>In FY23, the OCRP established a new academy, the Ovarian Cancer Clinical Trial Academy (OCCTA), which will focus on clinical trial research in ovarian cancer. The intent of the OCCTA is to enhance knowledge within next generation of Early-Career Investigators (ECIs) in clinical trial research and to produce effective treatments and cures for ovarian cancer. The OCCTA will bring together established investigators (the Academy Dean and Assistant Dean), established Career Guides (mentors), and a group of ECIs/Scholars to conduct successful, highly productive clinical trials in ovarian cancer. The OCCTA strives to develop successful, highly productive ovarian cancer clinical trialists in a collaborative research and career development environment, providing intensive mentoring, national networking, collaborations, and a peer group for junior clinical trialists. The OCCTA, through its Leadership, provides for professional and leadership development of the ECIs to include skills and competencies needed to execute clinical trials.</t>
  </si>
  <si>
    <t>Algorithm for Inventory, Assessments and Spatial Analysis in Natural Resources Management, Institute for Water Resources</t>
  </si>
  <si>
    <t xml:space="preserve">Others (see text field entitled "Additional Information on Eligibility" for clarification) This opportunity is restricted to non-federal partners of the Great Lakes Northern Forest Cooperative Ecosystems Studies Unit (CESU)._x000D_
_x000D_
Disclosures of current and pending support made in this application may render an applicant ineligible for funding. Prior to award and throughout the period of performance, ERDC may continue to request updated continuing and pending support information, which will be reviewed and may result in discontinuation of funding. _x000D_
_x000D_
Religious organizations are entitled to compete on equal footing with secular organizations for Federal financial assistance as described in E.O. 13798,  Promoting Free Speech and Religious Liberty. </t>
  </si>
  <si>
    <t>Natural Resources Management and Management of Recreation ResourcesCollaborate with key USACE personnel on recreation resources, environmental stewardship resources, and visitation data. Work will support recreation and environmental stewardship business line activities, including but not limited to maintaining and updating USACE spatial data inventory for recreational facilities, operational condition assessment for recreation facilities, analyzing datasets both internal and external for environmental factors such as invasive species and development pressure, and other needs as identified. When requested, provide written documentation of research findings, implications for USACE missions, and potential methods of implementation within USACE. Road Condition Monitoring and Trails ManagementDevelop Smart Sensing Technologies (i.e., camera-based, thermal imagining, laser-based, and ground penetrating radar) for assessing road conditions (hard surface and gravel/dirt) including predicting the potential for future integrity issues. Develop other technologies and strategies for implementation of the best strategies given the type and nature of the diverse USACE road systems. Develop similar technologies and strategies for assessing the USACE network of multi-use trail systems (nature trails, hiking, equestrian, biking, etc.). Research and develop data collection methodologies for such data. Value to the Nation (Economics)USACE NRM Programs have impacts on local and regional economies as well as the national economy. Assessing these impacts (both positive and negative) and developing methodologies for quantifying these impacts are needed to ensure the impacts and contributions of the NRM programs to the nation (in terms of economics) are clearly understood and articulated to a wide range of audiences.</t>
  </si>
  <si>
    <t>Fiscal Year 2024 Emergency Management Performance Grant Program</t>
  </si>
  <si>
    <t>State governments Either the SAA or the EMA is eligible to apply directly to FEMA for EMPG Program funds on behalf of each state or territory.</t>
  </si>
  <si>
    <t>The Emergency Management Performance Grant Program focuses on all-hazards emergency preparedness, including the evolving threats and risks associated with climate change. The primary objective is to assist state, local, tribal, and territorial emergency management agencies to implement the National Preparedness System and to support the National Preparedness Goal of a secure and resilient nation. Applicants can submit applications for this funding opportunity through FEMA Grants Outcomes (GO). Access the system at https://go.fema.gov/.</t>
  </si>
  <si>
    <t>Bipartisan Infrastructure Law (BIL)   Joint Office of Energy and Transportation: Communities Taking Charge Accelerator, Fiscal Year 2024 Funding Opportunity Announcement</t>
  </si>
  <si>
    <t>Unrestricted (i.e., open to any type of entity above), subject to any clarification in text field entitled "Additional Information on Eligibility" See Section III of the Funding Opportunity Announcement for complete details about eligibility.</t>
  </si>
  <si>
    <t>Bipartisan Infrastructure Law (BIL) â€“ Joint Office of Energy and Transportation: Communities Taking Charge Accelerator, Fiscal Year 2024 Funding Opportunity AnnouncementThis Funding Opportunity Announcement aims to help everyone ride and drive electric, foster public and private relationships, build interdisciplinary teams, advance the American blueprint for transportation decarbonization, and promote managed charging.</t>
  </si>
  <si>
    <t>Fiscal Year 2024 Intercity Passenger Rail Program (IPR)</t>
  </si>
  <si>
    <t>Others (see text field entitled "Additional Information on Eligibility" for clarification) AMTRAK is a federally chartered corporation</t>
  </si>
  <si>
    <t xml:space="preserve"> The Fiscal Year (FY) 2024 Intercity Passenger Rail (IPR) â€“ Amtrak program is one of four grant programs that constitute DHS/FEMAâ€™s focus on transportation infrastructure security activities. These grant programs are part of a comprehensive set of measures authorized by Congress and implemented by DHS to help strengthen the Nationâ€™s critical infrastructure against potential terrorist attacks. The IPR provides funds to Amtrak to protect critical surface transportation infrastructure and the traveling public from acts of terrorism.  For FY 2024, DHS is focused on the criticality of information sharing and collaboration to building a national culture of preparedness and protecting against terrorism and other threats to our national security. DHS and its homeland security mission were born from the â€œfailures among federal agencies and between the federal agencies and state and local authorities to share critical information related to the threat of terrorismâ€ prior to the September 11, 2001, attacks. The threat profile has changed in the last two decades â€“ we now face continuous cyber threats by sophisticated actors, threats to soft targets and crowded places, threats to our democratic election process and threats from new and emerging technologies. That said, information sharing and cooperation between state, local, tribal, and territorial authorities, and federal agencies, including all DHS officials, is just as vital, and perhaps even more vital, today. Therefore, for FY 2024, we have identified two priority areas, related to some of the most serious threats that Amtrak should address with IPR funds. These two priorities areas include enhancing cybersecurity and enhancing the protection of soft targets/crowded places. DHS also will continue to forge partnerships to strengthen information sharing and collaboration in each of these priority areas. Applicants can submit applications for this funding opportunity through FEMA Grants Outcomes (GO). Access the system at https://go.fema.gov/.</t>
  </si>
  <si>
    <t>Alumni Grants Program</t>
  </si>
  <si>
    <t>DOS-KAZ</t>
  </si>
  <si>
    <t>U.S. Mission to Kazakhstan</t>
  </si>
  <si>
    <t>Others (see text field entitled "Additional Information on Eligibility" for clarification)  	Individual USG alumni or 	USG alumni partnered with not-for-profit organizations 	USG alumni partnered with for-profit organizations 	The grant can be issued to the individual alumni or the partner organization.</t>
  </si>
  <si>
    <t>PLEASE SEE FULL ANNOUNCEMENT TEXT IN THE ATTACHMENT DOCUMENT NAMED 1. Alumni Grants Program 2024 NOFO
Executive Summary: 
The U.S. Mission Kazakhstan announces an open competition to implement an Alumni Grants Program to promote workforce development and strengthen economic diversification in Kazakhstan. Alumni of U.S. government-supported exchange programs are represented in all sectors of the economy, government, and society in Kazakhstan, and have unique knowledge and skills to address pressing national and global challenges. This funding mechanism will support projects led by alumni directed toward workforce development of youth and womenâ€™s economic empowerment.
Background: 
For the past five years, U.S. Mission Kazakhstanâ€™s Public Diplomacy Section (PDS) has supported more than 40 grants to alumni under the Alumni Grants Program (AGP) focused on strengthening civil society. The majority of these grants promoted youth empowerment, womenâ€™s empowerment, civic activism, human rights, and media literacy. 
A fast-changing economy, a skill gap between young people and the demands of the labor market, and social and cultural conventions that restrict work choices make the situation in Kazakhstan complicated for young people, particularly women, seeking to enter the work force. To address this issue, this year, the Alumni Grants Program will prioritize initiatives focused on economic growth and workforce development by supporting alumni with U.S. experience to leverage their expertise and knowledge. Projects should focus on high growth industries such as information technology, e-commerce, artificial intelligence, renewable energy, and tourism.
Project Goal:  Increase economic participation of youth from underserved communities in high-growth industries through workforce development opportunities by leveraging USG exchange alumni experience.
Project Objectives: Project proposals may address one or more of the objectives listed below.
Objective 1: Equip young professionals with in-demand knowledge and skills in order to increase their competitiveness and employability through professional development, mentorship, and partnership opportunities with high-growth industries.
Objective 2: Increase professional development opportunities for women in high growth industries through mentorship programs and networking events that allow them to connect, share experiences and build professional relationships.
Objective 3: Identify gender biases and advocate for policies that fight against discrimination in hiring, promotion, pay equity, and career advancement for women within Kazakhstanâ€™s business ecosystem.
Potential Project Audiences: 
Â· Youth and young adults aged 18 â€“ 35 residing in low-income or underserved communities
Â· Women entrepreneurs
Â· Business leaders
Â· Government officials
Â· Social media influencers
Â· Civil society representatives
Â· Academics and higher education professionals</t>
  </si>
  <si>
    <t>Fiscal Year 2024 Nonprofit Security Grant Program</t>
  </si>
  <si>
    <t>The Fiscal Year (FY) 2024 Nonprofit Security Grant Program (NSGP) is one of three grant programs that support DHS/FEMAâ€™s focus on enhancing the ability of state, local, tribal, and territorial governments, as well as nonprofits, to prevent, protect against, prepare for, and respond to terrorist or other extremist attacks. These grant programs are part of a comprehensive set of measures authorized by Congress and implemented by DHS to help strengthen the nationâ€™s communities against potential terrorist or other extremist attacks. For FY 2024, DHS is focused on building a national culture of preparedness and protecting against terrorism and other threats to our national security. DHS is also focused on forging partnerships to strengthen information sharing and collaboration among federal, state, local, tribal, and territorial law enforcement. There are no requirements for information sharing between nonprofit organizations and law enforcement; however, the NSGP seeks to bring nonprofit organizations into broader state and local preparedness efforts by removing barriers to communication and being more inclusive. DHS/FEMA encourages information sharing, while the goal of the NSGP is centered on improving and increasing a nonprofit organizationâ€™s physical/cyber security and facility/target hardening to enhance the protection of soft targets/crowded places.Applicants can submit applications for this funding opportunity through FEMA Grants Outcomes (GO). Access the system at https://go.fema.gov/</t>
  </si>
  <si>
    <t>Youth and Education Exchange</t>
  </si>
  <si>
    <t>DOS-AUT</t>
  </si>
  <si>
    <t>U.S. Mission to Austria</t>
  </si>
  <si>
    <t>Nonprofits that do not have a 501(c)(3) status with the IRS, other than institutions of higher education  	Not-for-profit organizations, including think tanks and civil society/non-governmental organizations  	Public and private educational institutions 	For-profit organizations CANNOT apply.</t>
  </si>
  <si>
    <t xml:space="preserve">A. PROGRAM DESCRIPTION 
The U.S. Embassy Vienna of the U.S. Department of State announces an open competition for organizations to submit applications to carry out a program to increase understanding of the United States and strengthen support for the transatlantic relationship and our common goals among young, emerging voices in Austrians. Please follow all instructions below. 
Although Austrians â€“ especially the younger generations â€“ tend to be eager consumers of American technology and popular culture, and view Americaâ€™s economic prowess and entrepreneurial spirit as world class, there is skepticism toward U.S. global leadership, including the impression that the United States acts unilaterally on the world stage, concern about the stability of democracy, societal divides, and polarization in the United States. U.S. Embassy Vienna invites proposals for a Youth and Education Exchange to be carried out between September 2024 and December 2025. In times of increasing discord and mis- and disinformation, this program promises to contribute to coming generations of Austrian leadersâ€™ understanding of the United States.  
Priority Region: None 
Program Objectives:  
This exchange program will focus on U.S. culture, shared values, disinformation, DEIA, and the contemporary American political and media landscape. The goal is to reinforce the power of shared democratic values, provide a first-hand look at the U.S. political process and the role of civil society, and enhance people-to-people ties between young Austrians and Americans. The program will reduce stereotypes and produce informed young Austrians who can act as citizen ambassadors, thus benefiting the Austrian-American relationship in the years ahead. 
As this will be a cooperative agreement, U.S. Embassy Vienna will have substantial involvement in this effort including participant selection and approval of the program structure and content of the U.S. component.  
The Public Diplomacy Section of the U.S. Embassy is providing maximum flexibility for applicant organizations to offer program models that effectively meet the overall goals of the program.  
In addition to those listed above, required elements of the program are as follows: 
- Participants should learn about the essential elements of contemporary American life, in particular leadership, civil society, community engagement, and politics and how these elements inter-relate. Participants should have the opportunity to experience these elements in a local U.S. community through interactive, hands-on training, which might include, for example: formal presentations, meetings with stakeholders, discussions, and cultural or social events.  
- Participants should have interaction with policy experts, media professionals, civil society representatives, and academics and students in both countries. 
- The program should include elements for post-program engagement with the Austrian participants that include mentoring and supporting participants as alumni of this program. 
- The recipient will identify specific and measurable outputs and outcomes based on the project specifications provided in the solicitation. 
Additional program goals include:  
- Promote future Austrian leadersâ€™ awareness of the American political process and the resilience of U.S. democracy. 
- Encourage identification of the United States as a destination for future academic, business, or other partnerships, and ongoing education. 
- Foster professional and personal ties with participants and U.S. citizens in the local community. 
- Promote mutual understanding between the people of the United States and the people of Austria. 
Participants and Audiences: 
Target audience and participants are 10-15 Austrian university students and young professionals, between age 21 and 28 and residing permanently in Austria, with demonstrated leadership capacity to participate in a tailored and compact hybrid (with a virtual pre-program phase) program in Austria and the United States, focusing on education and leadership. 
B. FEDERAL AWARD INFORMATION 
Length of performance period: 12 to 24 months  
Number of awards anticipated: 1 award (dependent on amounts) 
Award amounts: awards may range from a minimum of $100,000 to a maximum of $150,000 
Total available funding: $150,000 (pending availability of funds) 
Type of Funding: FY24 Smith Mundt Public Diplomacy Funds  
Anticipated program start date: September 15, 2024 
This notice is subject to availability of funding. 
Funding Instrument Type:  Cooperative agreement. Cooperative agreements and some FAAs are different from grants in that bureau/embassy staff are more actively involved in the grant implementation (â€œSubstantial Involvementâ€). U.S. Embassy Vienna will have substantial involvement including participant selection and approval of the program structure and content of the U.S. component. 
Program Performance Period: Proposed programs should be completed in 24 months or less.  
Optional: The Department of State will entertain applications for continuation grants funded under these awards beyond the initial budget period on a non-competitive basis subject to availability of funds, satisfactory progress of the program, and a determination that continued funding would be in the best interest of the U.S. Department of State. 
C. ELIGILIBITY INFORMATION 
1. Eligible Applicants 
The following organizations are eligible to apply:  
Â· Not-for-profit organizations, including think tanks and civil society/non-governmental organizations  
Â· Public and private educational institutions 
Â· For-profit organizations CANNOT apply. 
2. Cost Sharing or Matching 
U.S. Embassy Vienna encourages cost-sharing, which may be in the form of allowable direct or indirect costs. There is no minimum or maximum percentage required for this competition, but a very competitive application will include cost sharing that allows for more participants. The recipient of an assistance award must maintain written records to support all allowable costs which are claimed as its contribution to cost participation, as well as costs to be paid by the federal government. Such records are subject to audit.  
3. Other Eligibility Requirements 
In order to be eligible to receive an award, all organizations must have a Unique Entity Identifier (UEI) number issued via www.SAM.gov as well as a valid registration on www.SAM.gov. Please see Section D.3 for more information.  
For the following sections please see the attached A2A FY24 NOFO Youth and Education Exchange document 
D. APPLICATION AND SUBMISSION INFORMATION 
E. APPLICATION REVIEW INFORMATION 
F. FEDERAL AWARD ADMINISTRATION INFORMATION 
G. FEDERAL AWARDING AGENCY CONTACTS 
If you have any questions about the grant application process, please contact:  
ViennaGrants@state.gov 
H. OTHER INFORMATION  
</t>
  </si>
  <si>
    <t>FY 2024 Supplement: Strengthening Public Health Systems and Services in Indian Country</t>
  </si>
  <si>
    <t>HHS-CDC-CSTLTS</t>
  </si>
  <si>
    <t>CENTERS FOR DISEASE CONTROL  CSTLTS</t>
  </si>
  <si>
    <t>Native American tribal governments (Federally recognized) This funding opportunity is a program supplement intended only for the 26 American Indian and Alaska Native (AI/AN) Tribes and regional AI/AN tribally designated organizations awarded funding under CDC-RFA-TO-23-0001: Strengthening Public Health Systems and Services in Indian Country. The CDC-RFA-TO-23-0001 recipients are eligible to submit applications for new FY 2024 Centers, Institutes, and Offices (CIO) Project Plans according to the entity type, HHS Region, and/or IHS Area for which they received initial funding.</t>
  </si>
  <si>
    <t>CDC announces the availability of supplemental funding for the 26 American Indian and Alaska Native (AI/AN) Tribes and regional AI/AN tribally designated organizations awarded funding under CDC-RFA-TO-23-0001: Strengthening Public Health Systems and Services in Indian Country. The CDC-RFA-TO-23-0001 recipients are eligible to submit applications for new FY 2024 Centers, Institute, and Offices (CIO) Project Plans according to the entity type, HHS Region, and/or IHS Area for which they received initial funding.</t>
  </si>
  <si>
    <t>FY2024 Elder Justice Innovation Grants- Option 1</t>
  </si>
  <si>
    <t>Unrestricted (i.e., open to any type of entity above), subject to any clarification in text field entitled "Additional Information on Eligibility" Additional information on eligibility will be included in the full NOFO. Foreign entities are not eligible to compete for, or receive, awards made under this announcement.</t>
  </si>
  <si>
    <t>The purpose of the EJIG program is to support the development and advancement of new and emerging issues related to elder justice. Funded projects will contribute to the improvement of the field of elder abuse prevention and intervention at large, such as by developing materials, programs, etc. that can be widely disseminated and/or replicated, or by establishing and/or contributing to the evidence-base of knowledge.</t>
  </si>
  <si>
    <t>F25AS00008 - NAWCA 2025 Canada Grants</t>
  </si>
  <si>
    <t>Public and State controlled institutions of higher education For additional NAWCA Canada program information, visit: https://fws.gov/service/north-american-wetlands-conservation-act-nawca-grants-canada</t>
  </si>
  <si>
    <t>The NAWCA Canada program promotes partnerships between public agencies and groups interested in: a) protecting, improving, restoring, and managing an appropriate distribution and diversity of wetland ecosystems and other habitats for wetlands-associated migratory birds and other fish and wildlife in North America; b) maintaining and improving the current distributions of wetlands-associated migratory bird populations; and c) maintaining an abundance of waterfowl (ducks, geese, and swans) and other populations of wetlands-associated migratory birds consistent with the objectives of the North American Waterfowl Management Plan, U.S. Shorebird Conservation Plan, Waterbird Conservation Plan for the Americas, Partners in Flight Bird Conservation Plan, and other international obligations contained in the treaties and migratory bird conventions and other agreements with Canada, Mexico, and other countries. Proposals to the NAWCA Canada program should demonstrate how the activities of partners would encourage sustainable and effective programs for the long-term conservation of wetlands-associated migratory birds. NAWCA funds wetlands conservation projects that include: a) the acquisition of property containing wetlands ecosystems and associated habitats, including water rights, where the acquired land will be administered for its long-term conservation and for the benefit of migratory birds, fish, and other wildlife that depend on it; and/or b) restoration, enhancement, or management of wetlands ecosystems and associated habitats, where these activities will be conducted on lands and waters that will be administered for their long-term conservation and for the benefit of migratory birds, fish, and other wildlife that depend on them. NAWCA Canada proposals contribute to efforts to reduce climate pollution, support climate resilience, support land conservation and biodiversity efforts and leverage partnerships.</t>
  </si>
  <si>
    <t>Willamette Systems Alternatives Analysis and Simulation Tool Development and Application to Inform Implementation and Adaptive Management Plans</t>
  </si>
  <si>
    <t>This proposed agreement proposes three key aspects to support timely implementation of the WS EIS and AM Plan: 1. Development of simulation tools that are then transferred to managing agencies for ongoing implementation, 2. Demonstrated application of simulations to inform management direction under uncertainty 3. Incorporation of the best available data as it comes available to update the simulation modeling, leading to a more informed management decision. This will require a combination of salmon life cycle modeling, refinement and application of downstream passage modeling using the Fish Benefit Workbook developed by the Corps, and ongoing monitoring and analysis to inform these models. The proposed work includes completing analysis of effects of the preferred alternative on Upper Willamette River Spring Chinook and winter steelhead, supporting completion of the final EIS. Work proposed also includes description of an adaptive management framework wherein objectives, performance, uncertainty, risk, and value of information are explicitly quantified. This allows resource managers to 1) update testable hypotheses efficiently, 2) make use of limited data or disparate data types, 3) reduce analytical timelines, and 4) when presented with logistic or funding obstacles, can identify which monitoring data should be prioritized and collected thus remaining efficient with taxpayer dollars. The proposed work further includes refining the Corps Fish Benefit Workbook (FBW), recently converted to R, to address structural limitations identified in previous scientific reviews, and completion of FBW models delivered for future application by USACE and other parties. Similarly, proposed work includes development and delivery of lifecycle models for future application by USACE and other parties, with capabilities similar to those applied in the 2022 WS EIS. Analysis will occur once Biological Opinions from NMFS and USFWS are received and associated recommended changes (expected in summer 2024). Analysis during summer 2024 will be supported by contracts which expire in September 2024, however analysis will continue into fall 2024 and potentially winter 2025. Once final and a record of decision is signed, implementation and adaptive management begins during the remainder of 2025 and future years.</t>
  </si>
  <si>
    <t>Using Neuromodulation to Characterize the Continuum of Pathophysiology Between Substance Use and Mental Health Disorders (R01 Clinical Trial Required)</t>
  </si>
  <si>
    <t>Public housing authorities/Indian housing authorities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</si>
  <si>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This NOFO seeks applications from the SUD and MHD research communities that coordinate efforts to characterize the effects of neuromodulation on brain circuits and behaviors relevant to both SUD and MHD. To accomplish this goal, studies would specify inclusion/exclusion criteria to capture variance in both SUD and MHD symptoms. Further, studies would include measures of engagement of circuit-level targets in response to neuromodulation and dimensional measures of cognition and behavior relevant to both SUD and MHD. This research approach uses circuit dynamics to understand neurobehavioral function and to develop ecologically valid and descriptive models of the shared and discrete dysfunction across these conditions.</t>
  </si>
  <si>
    <t>Request For Information-Local Works Mozambique</t>
  </si>
  <si>
    <t>USAID-MOZ</t>
  </si>
  <si>
    <t>Mozambique USAID-Maputo</t>
  </si>
  <si>
    <t>Others (see text field entitled "Additional Information on Eligibility" for clarification) Restricted to Local Organizations Only</t>
  </si>
  <si>
    <t>This notice seeks information to support activity designs under the USAID/Mozambique Local Works Program (â€œMLWPâ€). The purpose of MLWP is to support the wellbeing and mental health of Mozambican youth by mitigating and addressing the impacts of childhood adverse events, which were identified as key determinants of young peoplesâ€™ ability to access health and education services as well as engage in work and other social environments. As part of this initiative, USAID/Mozambique seeks to establish a Youth Advisory Council (YAC).</t>
  </si>
  <si>
    <t>Annual Program Statement for U.S. Embassy Port Moresby</t>
  </si>
  <si>
    <t>DOS-PNG</t>
  </si>
  <si>
    <t>U.S. Mission to Papua New Guinea</t>
  </si>
  <si>
    <t>Others (see text field entitled "Additional Information on Eligibility" for clarification) U.S. or foreign not-for-profit organizations, including think tanks and civil society/non-governmental organizations. U.S. and foreign educational institutions, individuals, and governmental institutions.</t>
  </si>
  <si>
    <t>The U.S. Embassy Port Moresby Public Affairs Section (PAS) of the U.S. Department of State is pleased to announce the availability of funding through its Public Diplomacy Small Grants Program. This Annual Program Statement outlines our funding priorities, strategic themes, and procedures for submitting funding requests. Please carefully follow all instructions below.
Purpose of Small Grants: PAS Port Moresby invites proposals for programs that advance shared goals of the U.S. and Papua New Guinea, Solomon Islands, and Vanuatu. Programs should promote strategic objectives of our countries and meet Mission goals, incorporating an American cultural element or connection with American experts, organizations, or institutions. These programs should focus on strengthening economic, social, and environmental conditions in Papua New Guinea, Solomon Islands, and/or Vanuatu.
Total Amount Available: $500,000 subject to funding availability.
Maximum for Each Award: Local organizations: $24,000, International: $250,000</t>
  </si>
  <si>
    <t>Monitoring Periphyton in Northeast Shark River Slough to Establish CEPP Baseline Conditions</t>
  </si>
  <si>
    <t>Others (see text field entitled "Additional Information on Eligibility" for clarification) This opportunity is restricted to non-federal partners of the South Florida - Caribbean Cooperative Ecosystems Studies Unit (CESU).</t>
  </si>
  <si>
    <t>The purpose of this research is to monitor characteristics of periphyton downstream of CEPP, within Northeast Shark River Slough (NESRS) to determine pre-CEPP implementation baseline conditions for periphyton.
The project objectives include:
Objective 1: Collect quarterly samples at 35-40 sites in the northeast Shark River Slough to provide measures of mean periphyton cover, volume, biomass, chlorophyll a (chl a), and organic, total carbon (TC), nitrogen (N) and phosphorus (P).
Objective 2: Establish and report the baseline condition of appropriate periphyton community metrics and parameters for future use in a Before, After, Control, Impact (BACI) assessment of CEPP project implementation.
Objective 3: Demonstrate progress and present results in the form of quarterly status reports, annual reports, and a final report.</t>
  </si>
  <si>
    <t>Monitoring of Tree Island Condition in the Southern Everglades</t>
  </si>
  <si>
    <t>The purpose of this research is to focus on the response of tree island vegetation structure and composition to changes in hydrology as a result of CERP implementation. Additionally, there is potential work related to using monitoring data to develop tools to measure ecological performance in response to CERP implementation. Budget and scope to be developed separate from anticipated work described above.  The project objectives include: Objective 1: To monitor the condition of plant community structure and composition of tree islands. Objective 2: To assess temporal changes in the plant community structure and composition of tree islandsObjective 3: To determine the relationships among the hydrologic regimes of adjacent marshes, other stress variables, and dynamics of vegetation communities on tree islands. Objective 4: To investigate the correlation of spatially explicit long-term vegetation changes in response to hydrological regime changes.</t>
  </si>
  <si>
    <t>Landscape Pattern   Marl Prairies/Slough Gradients</t>
  </si>
  <si>
    <t xml:space="preserve">Others (see text field entitled "Additional Information on Eligibility" for clarification) This opportunity is restricted to non-federal partners of the South Florida - Caribbean Cooperative Ecosystems Studies Unit (CESU)._x000D_
_x000D_
Disclosures of current and pending support made in this application may render an applicant ineligible for funding. Prior to award and throughout the period of performance, ERDC may continue to request updated continuing and pending support information, which will be reviewed and may result in discontinuation of funding. _x000D_
_x000D_
Religious organizations are entitled to compete on equal footing with secular organizations for Federal financial assistance as described in E.O. 13798,  Promoting Free Speech and Religious Liberty. </t>
  </si>
  <si>
    <t xml:space="preserve">The purpose of this research is to continue a long-term dataset used to monitor changes in vegetation along established transects in the prairie-slough gradient across Shark River Slough and into the edges of the marl prairie on the eastern and/or western sides of the slough.  Additionally, there is potential work related to using monitoring data to develop tools to measure ecological performance in response to CERP implementation. Budget and scope to be developed separate from anticipated work described above.  The project objectives include: Objective 1: To characterize the composition, structure and abundance of prairie and slough vegetation communities and determine the changes in composition and extent of plant communities along marl prairie/slough gradients, Objective 2: To identify the boundary between different vegetation assemblages, characterize the bio-physical attributes of transition zone, and detect the spatio-temporal shift in the position of the boundaries, and Objective 3: To relate changes in vegetation structure and composition, particularly in the transition zone, to hydrologic changes resulting from CERP restoration activities, or climatic variation. </t>
  </si>
  <si>
    <t>Convener and Organizer of Activities and Engagements Related to Processes, Surveillance, and Policy Development of Medical Products for Ongoing Public Health Activities, U01 Clinical Trial Not Allowed</t>
  </si>
  <si>
    <t>HHS-FDA</t>
  </si>
  <si>
    <t>Food and Drug Administration</t>
  </si>
  <si>
    <t>Private institutions of higher education The following types of Higher Education Institutions are always encouraged to apply for FDA support as Public or Private Institutions of Higher Education:_x000D_
Hispanic-serving Institutions_x000D_
Historically Black Colleges and Universities (HBCUs)_x000D_
Tribally Controlled Colleges and Universities (TCCUs)_x000D_
Alaska Native and Native Hawaiian Serving Institutions_x000D_
Asian American Native American Pacific Islander Serving Institutions (AANAPISIs)_x000D_
_x000D_
Other:_x000D_
Faith-based or Community-based Organizations_x000D_
Regional Organizations</t>
  </si>
  <si>
    <t>The purpose of this Notice of Funding Opportunity (NOFO) is to solicit grant applications from neutral, independent institutions and/or organizations to support meetings (e.g., conferences, workgroups, roundtables) that convene a broad range of multiple stakeholders, including those with relevant expertise, to explore, research, and address issues related to medical products, policy, and surveillance methods and systems. Support includes, but is not limited to the design, planning, execution, synthesis, summary, and communication of findings from these forums to a broad range of organizations and individuals.</t>
  </si>
  <si>
    <t>Notice of Intent: Smart Manufacturing Technologies for Material and Process Innovation Funding Opportunity Announcement</t>
  </si>
  <si>
    <t>Unrestricted (i.e., open to any type of entity above), subject to any clarification in text field entitled "Additional Information on Eligibility" Additional eligibility information will be provided in the upcoming funding opportunity announcement.</t>
  </si>
  <si>
    <t>Civil Society Partnership Program: Building Organizational Capacity</t>
  </si>
  <si>
    <t xml:space="preserve">The U.S. Embassy to Papua New Guinea of the U.S. Department of State announces an open competition to submit a statement of interested to implement the Civil Society Partnership Program: Building Organizational Capacity program focusing on empowering non-profits and civil society organizations in Papua New Guinea. This Program will emphasize holistic interventions that address fundamental inequalities and empower vulnerable groups, paving the way for a more peaceful and prosperous nation. By investing in the leadership development and public engagement capacity of these organizations, this program aims to drive positive social change and create a more equitable and thriving future for all Papua New Guineans. </t>
  </si>
  <si>
    <t>Structures Uniquely Resolved to Guarantee Endurance (SURGE)</t>
  </si>
  <si>
    <t>DOD-DARPA-DSO</t>
  </si>
  <si>
    <t>DARPA - Defense Sciences Office</t>
  </si>
  <si>
    <t>The Defense Advanced Research Projects Agency (DARPA) is soliciting innovative proposals to rethink and accelerate distributed additive manufacturing of critical structural parts. Structures Uniquely Resolved to Guarantee Endurance (SURGE) will develop methods to predict part life directly from data collected during additive manufacturing (AM) in a way that is transferable across disparate machines, materials, locations, and geometries. Research will merge in-situ sensing technologies, process modeling, and microstructure-based fatigue life methods to quantify the useful life of manufactured hardware. Predictions will be backed by extensive experimental validation demonstrating a new paradigm for efficient part qualification. Proposed research must investigate innovative approaches that enable revolutionary advances in distributed AM capability. Specifically excluded is research that primarily results in evolutionary improvements to the existing state of practice.</t>
  </si>
  <si>
    <t>Family Violence Prevention and Services Discretionary Grants: Specialized Services to Abused Parents and their Children (Demonstration Projects)</t>
  </si>
  <si>
    <t>HHS-ACF-OFVPS</t>
  </si>
  <si>
    <t>Administration for Children and Families - OFVPS</t>
  </si>
  <si>
    <t>Native American tribal governments (Federally recognized) According to FVPSA, 42 U.S.C.  10412(b), eligible entities shall be:a local agency (agency that serves a local jurisdiction);a nonprofit private organization including faith-based and charitable organizations, community-based organizations, and voluntary associations (providing services for a city, county, region, state or territory); or a tribal organization (serving tribal communities). All entities must have a demonstrated record of serving victims of family violence, domestic violence, and dating violence and their children. If entities are not direct domestic violence victim services providers or an HHS-designated state domestic violence coalition, entities must demonstrate a history of meaningful, collaborative partnerships working with local, state, and/or domestic violence service providers.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</si>
  <si>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Office of Family Violence Prevention and Services program (OFVPS) Discretionary Grant Program under the Family Violence Prevention and Services Act (FVPSA): Specialized Services for Abused Parents and Their Children (Demonstration Projects) will support fifty (50) demonstration projects. These projects will focus on expanding the capacity (of coalitions, local programs, and community-based programs) to prevent future family violence, domestic violence, and dating violence by appropriately addressing the needs of children exposed to domestic violence, and the potentially co-occurring impacts of child abuse and neglect.</t>
  </si>
  <si>
    <t>YOUTH LEADERSHIP PROGRAM   LOCAL PARTNER</t>
  </si>
  <si>
    <t>Others (see text field entitled "Additional Information on Eligibility" for clarification) BIH public and private non-profit organizations that are based and legally registered in Bosnia and Herzegovina are eligible to apply. Applicants must demonstrate an ability to work in all parts of BiH, whether independently or in cooperation with a partner organization.</t>
  </si>
  <si>
    <t xml:space="preserve">The Public Diplomacy Section (PDS) invites proposal submissions from public and private non-profit organizations that are based and legally registered in Bosnia and Herzegovina (BiH) to implement the BiH component of the 2025-2026 Youth Leadership and Teacher Professional Development Program, pending the availability of Fiscal Year 2023/2024 Assistance to Europe, Eurasia and Central Asia (AEECA) funds. 
Mandatory Components:
1. The Youth Leadership Program (YLP) should be organized for 18 high school students aged 15-19, and three teachers from three communities in BiH to reflect the countryâ€™s diversity and administrative divisions, for a total of 21 participants in one program.
2. At the core of YLP is a substantive three-to-four-week program in the United States that takes place in at least two different cities during which time the BiH participants exchange information and experiences with peers in the United States. The United States-based program will be executed by a U.S. implementing partner. The BiH component of the program (â€œThe programâ€) should incorporate a pre-departure orientation in Sarajevo and an eight-month period during which participants conduct a Community Action Project (CAP) in their hometowns. 
3. The program should include group discussions, experiential learning activities, and exercises that focus on the themes outlined below and include aspects of leadership, teambuilding, collective problem-solving skills, effective communication, appreciation of diversity, and management skills. Participants should gain both theoretical knowledge and practical skills. 
4. The program activities and content should represent diverse BiH political and social viewpoints, as well as other aspects of diversity.  The program should advance the Embassyâ€™s mission to promote mutual understanding between citizens of other countries and citizens of the United States. 
5. The program should include a plan to guide and oversee follow-on engagement and project implementation once participants return home from the U.S. component of the project. 
</t>
  </si>
  <si>
    <t>Rehabilitation Research and Training Center (RRTC) on Family Support</t>
  </si>
  <si>
    <t>County governments States; public or private agencies, including for-profit agencies; public or private organizations, including for-profit organizations; IHEs; and Indian tribes and tribal organizations. Foreign entities are not eligible to compete for, or receive, awards made under this announcement. Faith-based and community organizations that meet the eligibility requirements are eligible to receive awards under this funding opportunity announcement.</t>
  </si>
  <si>
    <t>The purpose of the RRTCs is to achieve the goals of, and improve the effectiveness of, services authorized under the Rehabilitation Act through well-designed research, training, technical assistance, and dissemination activities in important topical areas as specified by NIDILRR. These activities are designed to benefit people with disabilities, family members, rehabilitation service providers, policymakers and other research stakeholders.  The purpose of this particular RRTC is to conduct research, training, technical assistance, and related activities on the family support of people with disabilities across the life course in order to improve the community living and participation, health and function, or employment outcomes of people with disabilities. NIDILRR plans to make one grant under this opportunity. The grant will have a 60-month project period, with five 12-month budget periods.</t>
  </si>
  <si>
    <t>BJS FY 24 Census of Jails, 2025 and 2026</t>
  </si>
  <si>
    <t>USDOJ-OJP-BJS</t>
  </si>
  <si>
    <t>Bureau of Justice Statistics</t>
  </si>
  <si>
    <t>With this solicitation, the Bureau of Justice Statistics (BJS) seeks a data collection agent for administering the 2025 and 2026 annual Census of Jails (COJ) to approximately 2,900 jails. The selected applicant will be responsible for developing a web version of the survey instruments; updating jail status and contact information; and collecting, processing, and delivering the annual COJ data. From 1970 to 2024, BJS conducted the COJ every 5 to 6 years to gather information on jail populations and facility characteristics. Starting in 2025, BJS plans to conduct the COJ annually, generating county-level and state-level statistics on a yearly basis. This award covers data collection for the 2025 and 2026 COJ. Additional funding may be provided for the 2027, 2028, and 2029 COJ, contingent on funding availability and project performance.</t>
  </si>
  <si>
    <t>Fiscal Year 2024 Shelter and Services Program   Competitive (SSP-C)</t>
  </si>
  <si>
    <t>County governments District of Columbia</t>
  </si>
  <si>
    <t>As directed by Congress, SSP makes federal funds available to enable non-federal entities to off-set allowable costs incurred for services associated with noncitizen migrants recently encountered and released by DHS. As stated in the FY 2024 appropriation, the primary purpose of SSP is to â€œreliev[e] overcrowding in short-term holding facilities of [CBP].â€ Recipients of SSP may also seek grant funds for renovations or costs associated with modifications to existing facilities in support of individuals who have recently been released from the custody of CBP. Refer to Appendix A of the NOFO for allowable activities.The Department of Homeland Security (DHS) has committed to bolstering the capacity of non-federal entities to receive noncitizens after they have been processed by U.S. Customs and Border Protection (CBP) and released from a DHS facility. DHS is committed to ensuring appropriate coordination with and support for state, local, and community leaders to help mitigate increased impacts to their communities as outlined in the DHS Plan for Southwest Border Security and Preparedness, issued on April 26, 2022, and updated on December 13, 2022.Applicants can submit applications for this funding opportunity through FEMA Grants Outcomes (GO). Access the system at https://go.fema.gov/.</t>
  </si>
  <si>
    <t>Monitoring Freshwater Fish and Macroinvertebrates in the Florida Everglades to Establish CEPP Baseline Conditions</t>
  </si>
  <si>
    <t>The Water Resources Development Act (WRDA) of 2000 authorized the Comprehensive Everglades Restoration Plan (CERP) as a framework for modifications and operational changes to the Central and Southern Florida Project needed to restore the south Florida ecosystem. Provisions within WRDA 2000 provided for specific authorization for an adaptive assessment and monitoring program. The CEPP is a CERP project expected to provide an additional 370,000 acre-feet of freshwater to the Everglades annually. Freshwater fishes and invertebrates play a critical role at the base of the food chain within
Everglades marshes, providing food to iconic apex predators like wading birds and alligators. Changes in water quantity and quality that influence freshwater fish and invertebrate assemblage structure directly influences wading bird ecology and ecosystem integrity of Everglades marshes. Monitoring of fishes and large invertebrates is necessary to track changes in water management associated with restoration projects both within Everglades National Park and upstream within the Water Conservation Areas. Long-term monitoring data are required to support assessment of the changes in water management. This project will conduct field sample collection, process samples, and data analyses and evaluate the long-term data set with regards to natural resource condition assessments.
The CEPP Adaptive Management and Ecological Monitoring Plans identify the freshwater fish and macroinvertebrate communities as essential attributes of the ecosystem that need to be monitored to assess the influence of the CEPP and to confirm additional freshwater is improving the production and availability of aquatic fauna (fish and macroinvertebrates) to support higher tropic levels. This monitoring of aquatic fauna will inform CEPP Adaptive Management actions associated with CEPP performance in conjunction with other CERP projects and non-CERP operations.
Program Description/Objective: (brief description of the anticipated work)
The purpose of this research is to leverage a long-term dataset to monitor the status and trends of freshwater fish and macroinvertebrate populations at established sites within Water Conservation Area 3 (WCA3) in order to determine pre-CEPP implementation baseline conditions for aquatic fauna to inform CEPP Adaptive Management and Ecological Monitoring Plans
The project objectives include:
Objective 1: Collect samples to monitor status and trends of large ( 8cm) and small ( 8cm) freshwater fish and macroinvertebrate populations at 10-12 established sites in WCA3 up to 5 times intra-annually.
Objective 2: Establish and report the baseline condition of aquatic faunal abundances and biomasses for future use in a Before, After, Control, Impact (BACI) assessment of CEPP project implementation.
Objective 3: Demonstrate progress and present results in the form of quarterly status reports, annual reports, and a final report.
 Public Benefit
This project will play a critical role in determining the effect of the CEPP on the aquatic fauna community in WCA3 and continue to build upon the knowledge base for understanding the ecology of the freshwater trophic community in the Greater Everglades ecosystem. Data collected will be used to inform the successful implementation of the CEPP and support the CERP in reaching its restoration goals and objectives. Understanding aquatic faunal dynamics within WCA3 is critical to assess and the effects of hydrologic changes associated with CEPP implementation, ecosystem restoration, and climate change which have potential impacts on the economy of South Florida, including tourism, recreational opportunities, and water management.</t>
  </si>
  <si>
    <t>Inventory of Bats to Inform Park Resource Management at Canaveral National Seashore, Fort Matanzas National Monument, Cumberland Island National Seashore and Timucuan Preserve</t>
  </si>
  <si>
    <t>DOI-NPS</t>
  </si>
  <si>
    <t>National Park Service</t>
  </si>
  <si>
    <t>Nonprofits having a 501(c)(3) status with the IRS, other than institutions of higher education Intrastate, State (includes District of Columbia, public institutions of higher education and hospitals), Local (includes State-designated lndian Tribes, excludes institutions of higher education and hospitals, Sponsored organization, Public nonprofit institution/organization (includes institutions of higher education and hospitals), Other public institution/organization, Individual/Family, Profit organization, Private nonprofit institution/organization (includes institutions of higher education and hospitals), Quasi-public nonprofit institution/organization, Other private institutions/organizations, State</t>
  </si>
  <si>
    <t>The National Park Service Species Inventories Program (https://www.nps.gov/im/species-inventories.htm) funds projects that address specific management actions underway or planned at a park and the timeline for these projects typically is 12-18 months, resulting in a standard set of deliverables including a report. Four parks in the southeastern United States need an inventory of bat species occurrence (presence/absence) particularly of tricolored bats and their roost site locations and foraging habitat. The parks are Canaveral National Seashore, Fort Matanzas National Monument, Cumberland Island National Seashore and Timucuan Ecological and Historic Preserve. Each park would like to understand bat presence/absence in natural habitat and selected structures. They anticipate a sample set of at least five sites at each park could be sufficient to provide insights to their management needs. Our project development workflows involve engaging park managers to clarify their needs. Once an agreement is in place, we coordinate project calls and assist with deliverables and product reviews.</t>
  </si>
  <si>
    <t>Alzheimer's Disease Programs Initiative (ADPI) - Grants to States and Communities (Winter 2024)</t>
  </si>
  <si>
    <t>State governments Foreign entities are not eligible to compete for, or receive, awards made under this announcement. Faith-based and community organizations that meet the eligibility requirements are eligible to receive awards under this funding opportunity announcement.</t>
  </si>
  <si>
    <t>Cooperative agreements under the Alzheimer's Disease Program Initiative (ADPI) Notice of Funding Opportunity (NOFO), are intended to support and promote the development and expansion of dementia-capable home and community-based service (HCBS) systems in States and Communities. There are two application options contained in this single NOFO: Grants to States (Option A) and Grants to Communities (Option B). No entity is eligible to apply for both State and Community options and no entity is eligible to hold more than one ADPI grant at a time. The dementia-capable systems resulting from program activities under either option are expected to provide quality, person-centered services and supports that help individuals living with dementia and their caregiver remain independent and safe in their communities.OPTION A: Grants to StatesApplicants for Option A (36 month cooperative agreements) are the governmental entities within states and territories designated as the state agency for dementia-capability and that have working relationships with their state agencies that enable creating and sustaining a dementia- capable HCBS System. Option A has two required objectives, the first of which is the creation, expansion and sustainability of a dementia-capable state HCBS system that includes Single Entry Point/No Wrong Door (SEP/NWD) access for people with dementia and their family caregivers. The second objective is to ensure access to a comprehensive, sustainable set of quality state HCBS that are dementia-capable and provide innovative services to the population with dementia and their caregivers.States and territories eligible for Option A are those that do not have active ACL ADPI State dementia-capability grants. All states without active grants are eligible to apply, however those states that have not benefited from ADSSP grants since before 2014 will be given priority consideration in the post-review decision-making process.OPTION B: Grants to CommunitiesCooperative agreements under Option B (36 month cooperative agreements) are available to private and/or public community-based organizations (CBO) that are able to: 1) demonstrate their operation within an existing dementia-capable HCBS system dedicated to the population that they serve; and 2) articulate opportunities and additional services in the targeted gap areas that would enhance and strengthen the existing system.Option B cooperative agreements are designed to aid community-based HCBS providers in addressing three specific service gaps in existing dementia-capable HCBS systems for persons living with or those at high risk of developing Alzheimerâ€™s disease and related dementias (ADRD) and their caregivers.Option B applicants must address each of the following three gap areas:Provision of effective supportive services to persons living alone with ADRD in the community;Improvement of the quality and effectiveness of programs and services dedicated to individuals aging with intellectual and developmental disabilities with ADRD or those at high risk of developing ADRD; and Delivery of behavioral symptom management training and expert consultations for family caregivers.Community-based organizations are only eligible to hold one ADPI grant at a time. All community-based organizations without active ADPI grants are eligible to apply, however those that have not benefited from ADI-SSS and ADPI grant programs since before 2014 will be given priority consideration in the post-review decision-making process.</t>
  </si>
  <si>
    <t>AMBASSADOR'S RESILIENCE FUND</t>
  </si>
  <si>
    <t>DOS-BEN</t>
  </si>
  <si>
    <t>U.S. Mission to Benin</t>
  </si>
  <si>
    <t>Others (see text field entitled "Additional Information on Eligibility" for clarification) Benin-based non-profit/non-governmental organizations (NGOs).</t>
  </si>
  <si>
    <t>Department of State 
U.S. Embassy Cotonou 
Notice of Funding Opportunity (NOFO)  
Federal Awarding Agency name: Political and Economic Section, U.S. Embassy Cotonou,  Department of State  
Funding Opportunity Title:  Ambassadorâ€™s Resilience Fund (ARF) 
Funding Opportunity Number: Cotonou-ARF-FY2024-001 
Opening of Submission: April 10, 2024 
Deadline for Submission:  June 12, 2024  
Assistance Listing Number: 19.979 
Total Amount Available: $100,000.00  
Maximum for each award:  $25,000.00 
Point of Contact:  CotonouGrants@state.gov ; Tel (+229) 21367658; (+229) 21367724  
Eligibility Category:  Benin-based non-profit/non-governmental organizations (NGOs). 
A. PROGRAM DESCRIPTION AND OBJECTIVES 
U.S. Embassy Cotonou is pleased to announce an open competition for non-governmental organizations to apply for the Ambassadorâ€™s Resilience Fund (ARF). The United States is committed to strengthening global resiliency and democratic renewal, and promoting peaceful, self-reliant nations that become strong economic and security partners capable of addressing shared challenges. 
The United States Strategy to Prevent Conflict and Promote Stability (SPCPS) seeks to break the costly cycle of fragility and promote peaceful and self-reliant nations. The goal of the ARF is to strengthen the ability of local actors to address cross-border security threats by reinforcing social cohesion, enhancing community engagement capabilities, mitigating education, economic and environmental vulnerabilities in the region and in particular in at risk communities in Benin. 
A detailed description of ARF grants and guidelines are below. Please read carefully to see if your project is eligible to apply for these funds.  A grant of up to $25,000 U.S. Dollars (USD) in FY 2024 Economic Support Fund (ESF) resources will be awarded (pending fund availability) for work that will support program objectives below.  
Priority Region: Northern Benin, including the Alibori, Borgou, Atacora and Donga departments. 
Background: 
The Coastal West African (CWA) region is facing a continuous deterioration of the security situation linked to several factors. In recent years, regions in and surrounding Benin have faced recurring economic and climate shocks and have become fertile ground for violent extremist organizations (VEO) expanding from the Sahel. U.S. Embassy Cotonou, in support of the U.S. Government efforts to prevent conflict and promote stability, calls for suitable proposals addressing poverty and vulnerability in the communities, focusing on entrepreneurship by youth and womenâ€™s cooperatives, and contributing to building resilience, sustainable livelihoods, and promoting social cohesion. The ARF aims to improve access to livelihoods and economic opportunities, in support of the Beninese governmentâ€™s efforts to address the spread of violent extremism and insecurity in Benin. The program will specifically target youth who constitute the most vulnerable sector of the society, to curb poverty and vulnerability, which are the fundamental weaknesses that VEOs exploit for recruitment.</t>
  </si>
  <si>
    <t>New Beginning for Tribal Students Program</t>
  </si>
  <si>
    <t>USDA-NIFA</t>
  </si>
  <si>
    <t>National Institute of Food and Agriculture</t>
  </si>
  <si>
    <t>Others (see text field entitled "Additional Information on Eligibility" for clarification) Eligibility to apply for the New Beginning for Tribal Students (NBTS) is limited to 1862, 1994, and 1890's.</t>
  </si>
  <si>
    <t xml:space="preserve">New Beginning for Tribal Students makes competitive grants to land-grant colleges and universities to provide identifiable support specifically targeted for Tribal students. A land-grant college or university that receives this grant shall use funds for, but not limited to, recruiting; tuition and related fees; experiential learning; student services, including tutoring; counseling; academic advising; and other student services that would increase the retention and graduation rate of Tribal students enrolled at the land-grant college or university. </t>
  </si>
  <si>
    <t>WATER RESOURCES RESEARCH ACT PROGRAM ANNUAL BASE GRANTS FISCAL YEAR 2024</t>
  </si>
  <si>
    <t>Others (see text field entitled "Additional Information on Eligibility" for clarification) Applications will be accepted only from Institutes or Centers established pursuant to the provisions of Section 104 of the Water Resources Research Act of 1984, as amended. The applicant may consider project proposals only from faculty members or affiliates at institutions of higher education in its State.</t>
  </si>
  <si>
    <t>This Program Announcement is issued under the provisions of section 104 of the Water Resources Research Act of 1984 (codified at 42 USC 10301 et seq.) and amended by Public Laws 101-397, 104-147, 106-374, 109-471, and 117-58. The Water Resources Research Act directs the Secretary of the Interior to administer program grants to Institutes established under the provisions of section (a) of the Act.  Water Resources Institutes or Centers have been established in each of the 50 states, the District of Columbia, Puerto Rico, the U.S. Virgin Islands, and Guam.  The Institute in Guam also serves the Federated States of Micronesia and the Commonwealth of the Northern Mariana Islands.  The Institute in Hawaii also serves American Samoa.  Institute Directors or their designee(s) are responsible for submitting applications.  Responsibility for administration of the State Water Resources Research Institute program has been delegated to the U.S. Geological Survey (USGS).Section 104(b) of the Water Resources Research Act of 1984 requires the Institutes or Centers to:(1)  â€œplan, conduct, or otherwise arrange for competent applied and peer reviewed research that fosters â€“(A) improvements in water supply reliability;(B) the exploration of new ideas that â€“      (i) address water problems; or      (ii) expand understanding of water and water-related phenomena;(C) the entry of new research scientists, engineers, and technicians into water resources fields; and(D) the dissemination of research results to water managers and the public.(2)  "cooperate closely with other colleges and universities in the State that have demonstrated capabilities for research, information dissemination, and graduate training in order to develop a statewide program designed to resolve State and regional water and related land problems." (3)  "cooperate closely with other institutes and other organizations in the region to increase the effectiveness of the institutes and for the purpose of promoting regional coordination."Applications submitted under this Announcement are to be in furtherance of these objectives and promote the national mission and objectives of the U.S. Geological Survey which are focused on providing water-quality and -quantity information, understanding water availability, addressing the influence of climate on water resources, and responding to water-related emerging needs. Specific areas of emphasis are at the discretion of the individual Institute or Center Directors.</t>
  </si>
  <si>
    <t>FY24 Community Policing Development (CPD) Law Enforcement Products and Resources Solicitation</t>
  </si>
  <si>
    <t>Others (see text field entitled "Additional Information on Eligibility" for clarification) Open to all for-profit (commercial) organizations, nonprofit organizations, institutions of higher education, community groups, and faith-based organizations.</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</si>
  <si>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is pleased to announce that it is seeking applications for funding for the FY 24 CPD: Law Enforcement Products and Resources program. Community Policing Development (CPD) funds are used to develop the capacity of law enforcement to implement community policing strategies by providing guidance on promising practices through the development and testing of innovative strategies; building knowledge about effective practices and outcomes; and supporting new, creative approaches to preventing crime and promoting safe communities.
FY 2024 Law Enforcement Products and Resources CPD program funding supports the development of  law enforcement products and resources specifically designed for national distribution that offer creative ideas to advance crime fighting, community engagement, problem solving, or organizational changes in support of community policing.</t>
  </si>
  <si>
    <t>The National Center for Mental Health Dissemination, Implementation and Sustainment Cooperative Agreement</t>
  </si>
  <si>
    <t>Others (see text field entitled "Additional Information on Eligibility" for clarification) Eligible applicants are States and Territories (Guam, the Commonwealth of Puerto Rico, the Northern Mariana Islands, the Virgin Islands, American Samoa, the Federated States of Micronesia, the Republic of the Marshall Islands, and the Republic of Palau), including the District of Columbia, political subdivisions of States, Indian tribes, or tribal organizations (as such terms are defined in Section 5304 of title 25), health facilities, or programs operated by or in accordance with a contract or award with the Indian Health Service, or other public or private non-profit entities.</t>
  </si>
  <si>
    <t>The purpose of this program is to build the expertise of Center for Mental Health Services (CMHS) service, capacity building, and technical assistance recipients and organizations that oversee or directly provide mental health services to use science-based methods to implement, disseminate, and sustain services. The MHDIS recipient will be expected to provide: (1) training and technical assistance (TTA) on the planning implementation, adaptation, and sustainment of a new/existing service and (2) localized, targeted, and intensive technical assistance (TA) to CMHS recipients and other mental health providers to improve the process of implementation, dissemination, and sustainment of services.</t>
  </si>
  <si>
    <t>FY24 COPS Hiring Program</t>
  </si>
  <si>
    <t>State governments Local, state, territorial, and tribal law enforcement agencies that have primary law enforcement authority are eligible to apply. An agency with primary law enforcement authority is defined as the first responder to calls for service for all types of criminal incidents within the jurisdiction served. CHP applicants must have a law enforcement agency (i.e. Sheriff s Office, Department, etc.) that is operational by the close of this application or receive services through a new or existing contract for law enforcement services through an existing contract for law enforcement services or a new contract for law enforcement services that is in place by the close of this solicitation. Applicants must also maintain primary law enforcement authority for the population to be served.  If funds under this program are to be used as part of a written contracting agreement for law enforcement services (e.g., a town that contracts with a neighboring sheriff s department to receive services), the agency wishing to receive law enforcement services must be the legal applicant in this application.  A law enforcement agency is established and operational if the jurisdiction has passed authorizing legislation and it has a current operating budget.</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</si>
  <si>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has been appropriated more than $20 billion to advance community policing, including grants awarded to more than 13,000 state, local, territorial, and tribal law enforcement agencies to fund the hiring and redeployment of more than 136,000 officers. COPS Office information resources, covering a wide range of community policing topics such as school and campus safety, violent crime, and officer safety and wellness, can be downloaded via the COPS Officeâ€™s home page, https://cops.usdoj.gov. The COPS Hiring Program (CHP) provides funding to law enforcement agencies to hire and/or rehire additional career law enforcement officers in an effort to increase their community policing capacity and crime prevention efforts. Anticipated outcomes of CHP awards include engagement in planned community partnerships, implementation of projects to analyze and assess problems, implementation of changes to personnel and agency management in support of community policing, and increased capacity of agency to engage in community policing activities. Community policing is a philosophy that promotes organizational strategies that support the systematic use of partnerships and problem-solving techniques to proactively address the immediate conditions that give rise to public safety issues such as violent crime, nonviolent crime, and fear of crime. To read an overview of the principles of community policing, please see the COPS Office publication Community Policing Defined. The COPS Office is committed to advancing work that promotes civil rights and equity, increases access to justice, supports crime victims and individuals impacted by the justice system, strengthens community safety and protects the public from crime and evolving threats, and build trust between law enforcement and the community.</t>
  </si>
  <si>
    <t>FY24 Women in Apprenticeship and Nontraditional Occupations (WANTO) Technical Assistance Grant Program</t>
  </si>
  <si>
    <t>DOL-WB</t>
  </si>
  <si>
    <t>Womens Bureau</t>
  </si>
  <si>
    <t>Nonprofits that do not have a 501(c)(3) status with the IRS, other than institutions of higher education To be eligible for funds under this grant program, an applicant must be a community-based organization (CBO), as defined in the Funding Opportunity Announcement (FOA).</t>
  </si>
  <si>
    <t>This program aims to provide technical assistance (TA) to employers (which may include public sector entities) and labor unions in the United States and its territories to encourage employment of women in both apprenticeable occupations and nontraditional occupations (A/NTO), specifically in the following ways:Developing (establishing, expanding, and/or enhancing) pre-apprenticeship, youth apprenticeship, Registered Apprenticeship (as defined in Appendix B "Acronyms and Definitions"), or other nontraditional skills training programs designed to prepare women for careers in A/NTO;Providing ongoing orientations or other resources for employers, unions, and workers on creating a successful environment for women in A/NTO; and/orSetting up support groups, facilitating networks, and/or providing supportive services (as defined in section IV.E.3) for women in A/NTO to improve their retention.Applicants may propose to provide technical assistance to support womenâ€™s participation and success in the full range of industries in which women are historically underrepresented or where women are disproportionately concentrated in the lower-wage occupations. Such industries include, but are not limited to; advanced manufacturing, construction, energy, health care, information technology, finance, and transportation. Applicants with experience working with or as an equity intermediary are encouraged to apply, as well as applicants with a proposed focus on expanding outreach/recruitment to historically underrepresented communities, including but not limited to women of color and women with disabilities, women at or below the federal poverty line, formerly incarcerated women, immigrant women, transgender women, and women who live in rural geographic areas. Applicants that plan to accelerate local or state government agency efforts to increase womenâ€™s inclusion and equity in projects funded through the Infrastructure Investment and Jobs Act (also known as the Bipartisan Infrastructure Law or BIL), CHIPS and Science Act, Inflation Reduction Act, or other federal funding are also encouraged to apply. For the purposes of this FOA, the term "woman" or "women" is to be interpreted in the most inclusive manner with participant eligibility to be inclusive of transgender women and non-binary individuals.</t>
  </si>
  <si>
    <t>Wading Bird Colony Location, Size, Timing, and Reproductive Success in Lake Okeechobee</t>
  </si>
  <si>
    <t>Others (see text field entitled "Additional Information on Eligibility" for clarification) This opportunity is restricted to non-federal partners of the South Florida   Caribbean Cooperative Ecosystems Studies Unit (CESU).</t>
  </si>
  <si>
    <t>Background
The Water Resources Development Act (WRDA) of 2000 authorized the Comprehensive Everglades Restoration Plan (CERP) as a framework for modifications and operational changes to the Central and Southern Florida Project needed to restore the south Florida ecosystem. Provisions within WRDA 2000 provided for specific authorization for an adaptive assessment and monitoring program. The CERP Monitoring and Assessment Plan (MAP) was developed as a framework for measuring and understanding system responses to CERP, determining how well CERP is meeting its goals and objectives, and identifying opportunities for improving the performance of CERP where needed. REstoration, COordination, VERification (RECOVER) is a multiagency, multidisciplinary group responsible for implementing the CERP MAP.
Wading birds are a dominant guild of predators in the Everglades ecosystem and their breeding population responses are considered to be integrative and reflective of many aspects of wetland habitat and systemwide hydrologic conditions; thus wading birds have been identified as a key suite of indicator species of restoration success. Restoration has been centered on several trophic hypotheses regarding wading birds (e.g., appropriate hydrology will increase fish and macroinvertebrate populations, enhanced foraging opportunities will increase wading bird breeding, and the return of flow to coastal regions will restore wading bird nesting in those areas). Without the appropriate monitoring of wading bird colonies, these hypotheses cannot be assessed and CERP may not achieve its goals. To determine if restoration effects are system-wide or local, it is necessary to monitor all â€œpatchesâ€ of wading bird breeding activity across the south Florida ecosystem. The Lake Okeechobee basin is just one patch of the landscape hosting breeding wading birds, but the information gathered is vital to determine the success of CERP. This project will draw upon prior research conducted in the Everglades and in Lake Okeechobee basin and will continue to study how CERP restoration influences breeding and reproductive success of wading bird populations.
Program Description/Objective
The purpose of this research is to continue a long-term dataset used to record and monitor changes in annual numbers and reproductive success of breeding wading bird populations in the Lake Okeechobee basin.
The project objectives include:
Objective 1: Provide an annual summary with monthly temporal resolution of the size, location, and species composition of nesting colonies of wading birds breeding in the Lake Okeechobee basin.
Objective 2: Provide an annual summary of quantitative information on nest success and nest productivity of the wading bird community; and
Objective 3: The standardization of methods and integration of results from all projects monitoring wading birds in the south Florida ecosystem.
Additionally, there is potential work related to using blue-listed unmanned aerial vehicles to develop and assess alternative monitoring methods of wading bird breeding activity. The budget and scope should be developed as an Optional Task in addition to the work described above.
There is also potential work related to the development of a predictive model of Lake Okeechobee wading bird breeding to be used as a RECOVER Performance Measure. The budget and scope should be developed as an Optional Task in addition to the work described above.
Public Benefit
This project will play a critical role in building the knowledge base for the population dynamics of wading birds near and in Lake Okeechobee as it relates to ecological conditions including restoration. Data to be collected includes nesting characteristics such as breeding timing, colony formation and size, nesting characteristics, nesting success, and species interactions. Wading birds are an ecological indicator of ecosystem health which is important to the public. Improvements in ecosystem health as result of ecological restoration and habitat management provide a direct benefit to the public by improving outdoor recreation opportunities and the economy of South Florida.</t>
  </si>
  <si>
    <t>FY24 Community Policing Development (CPD) Invitational Solicitation</t>
  </si>
  <si>
    <t>Others (see text field entitled "Additional Information on Eligibility" for clarification) This solicitation is open to applicants that have received a direct invitation from the COPS Office.</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</si>
  <si>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is pleased to announce that it is seeking applications for funding for the FY24 Community Policing Development (CPD) Invitational program. Community Policing Development (CPD) funds are used to develop the capacity of law enforcement to implement community policing strategies by providing guidance on promising practices through the development and testing of innovative strategies; building knowledge about effective practices and outcomes; and supporting new, creative approaches to preventing crime and promoting safe communities.</t>
  </si>
  <si>
    <t>Cyberinfrastructure for Public Access and Open Science</t>
  </si>
  <si>
    <t>_x000D_
The Cyberinfrastructurefor Public Access and Open Science (CI PAOS) program within the Office of Advanced Cyberinfrastructure (OAC) aims to catalyze new and transformative socio-technical partnerships supporting research data infrastructure ecosystems across domainsthrough early-stage collaborative activities between cyberinfrastructure researchers, scientists, research computing experts, data management experts, research labs, university libraries, and other communities of practice.
_x000D_
_x000D_
_x000D_
The CI PAOS program supports the NSF Public Access Initiative byencouraging innovation across the CI ecosystem to address accessibility, discoverability, reliability, reproducibility, sustainability, and utility of data products in alignment with NSF and national goals for public access and open science [See: NSF Public Access Initiative, Office of Science and Technology Policy Memorandum on Ensuring Free, Immediate, and equitable Access to Federally funded Research, and Desirable Characteristics of Data Repositories for Federally Funded Research].CI PAOS builds on previous investments including those through Dear Colleague Letters NSF19-069,NSF20-068, NSF 23-018, and the FAIROS Research Coordination Networks (RCN)program solicitation (NSF 22-553).
_x000D_
_x000D_
_x000D_
NSF accepts proposals pursuant tothis Program Description year-round. From time to time, NSF may also issue Dear Colleague Letters to encourage proposals on special thematic interests and opportunities related to this program.
_x000D_
_x000D_
GUIDANCE TO POTENTIAL PROPOSERS
_x000D_
_x000D_
_x000D_
A primary feature of successful CI PAOS projects is a robust, synergistic collaborative team comprising skills from across communities of science/engineering, research data science, and information science discipline(s) and expertise in leveraging connections between cyberinfrastructure researchers and providers and data specialists. Leveraging international collaboration to build shared norms and address challenges related to developing and implementing PAOS policies and practices is encouraged. Research and education in science and engineering benefit immensely from international cooperation. Proposals with an international component are also welcome [See: International Collaborations Opportunities at NSF]. Proposers must target one or more of the following themes/pathways:Competency Building, Capability Building, and/or Community Building. 
_x000D_
_x000D_
_x000D_
Competency Building
_x000D_
_x000D_
_x000D_
Open science/engineering-driven collaboration. A socio-technical collaborative approach in addressing disciplinary, interdisciplinary, domestic, and international data lifecycle challenges is critical to informing and guiding the development of principles, requirements, and standardsof a CI ecosystem that fosters pipelines to good data management and pathways to access.Proposals should clearly describe the goals, challenges, and rationale for the proposed data science and engineering project and include an explanation of the potential for transformative research and broader impacts on the open science ecosystem [See: U.S. NSF Broader Impacts].Successful proposals will also clearly identify utilization science scenarios and use cases.
_x000D_
_x000D_
_x000D_
Capability Building
_x000D_
_x000D_
_x000D_
Exploratory and pilot activities.&lt;span class="TextRun SCXW92189242 BCX4" lang="EN-US" xml:lang="EN-US" d</t>
  </si>
  <si>
    <t>Fiscal Year (FY) 2025 Quality Improvement Fund   Transitions in Care for Justice-Involved Populations (QIF-TJI)</t>
  </si>
  <si>
    <t>Others (see text field entitled "Additional Information on Eligibility" for clarification) Your organization must be a Health Center Program award recipient with an active H80 grant award to apply. Health Center Program award recipients are organizations funded under Section 330(e), (g), (h), and/or (i) of the Public Health Service Act.</t>
  </si>
  <si>
    <t>This notice announces the opportunity for health centers funded by HRSA under section 330 of the Public Health Service Act to apply for funding under Fiscal Year (FY) 2025 Quality Improvement Fund â€“ Transitions in Care for Justice-Involved Populations (QIF-TJI). The purpose of this funding opportunity is to strengthen transitions in care for individuals who will soon be released from incarceration, increasing their access to community-based, high-quality primary care services. Through this one-time investment, health centers will build upon existing evidence-based models to pilot innovative approaches that connect or reconnect justice-involved individuals reentering the community (JI-R) to in-scope health center services that address critical health and health-related social needs.
 FY 2025 QIF-TJI award recipients will pilot models of care that increase access to and engagement with health center services for JI-R individuals as they prepare for release from incarceration and return to living in the community. Your proposed QIF-TJI activities must align with the Health Center Program Scope of Project Policy Manual (Scope Policy Manual). A list of in-scope services for JI-R individuals is included in Appendix C.
 Carceral authorities are obligated to provide medical care to incarcerated individuals within the carceral setting. Health centers may not use QIF-TJI funding to replace the obligations of carceral authorities to provide medical care or for any activities that are not specifically focused on engaging JI-R individuals with health center community-based primary health care to support transitions in care. In addition, health centers cannot use QIF-TJI funding to provide medical care to individuals who are more than 90 days from scheduled or expected release from incarceration or activities that are not aligned with associated guidance in this NOFO and its appendices.
 For more details, see Program Requirements and Recommendations.</t>
  </si>
  <si>
    <t>DE-FOA-0003274 - MACRO - Mixed Algae Conversion Research Opportunity</t>
  </si>
  <si>
    <t>Native American tribal governments (Federally recognized) DOE/NNSA FFRDCs are eligible to apply for funding as a subrecipient but are not eligible to apply as a prime recipient._x000D_
_x000D_
Except as described below for the National Energy Technology Laboratory (NETL), DOE/National Nuclear Security Agency (NNSA) FFRDCs are eligible to apply for funding as a subrecipient but are not eligible to apply as a prime recipient._x000D_
_x000D_
NETL is not eligible for award under this FOA and may not be proposed as a sub-recipient on another entity s application. An application that includes NETL as a prime recipient or subrecipient will be considered non-responsive._x000D_
_x000D_
Non-DOE/NNSA FFRDCs are eligible to participate as a subrecipient but are not eligible to apply as a prime recipient._x000D_
_x000D_
Federal agencies and instrumentalities (other than DOE) are eligible to participate as a subrecipient but are not eligible to apply as a prime recipient.</t>
  </si>
  <si>
    <t>Building a clean and equitable energy economy and addressing the climate crisis is a top priority of the Biden Administration. This FOA will advance the Biden Administrationâ€™s goals to deliver an equitable, clean energy future, and put the United States on a path to achieve net-zero emissions, economy-wide, by no later than 2050 to the benefit of all Americans. This FOA is funded by two Department of Energy (DOE) offices: the Office of Energy Efficiency and Renewable Energyâ€™s (EERE) Bioenergy Technologies Office (BETO) and the Office of Fossil Energy and Carbon Managementâ€™s (FECM) Carbon Conversion Program._x000D_
_x000D_
BETOâ€™s primary focus is on developing technologies that convert domestic biomass and/or waste resources to affordable biofuels and bioproducts that significantly reduce carbon emissions on a life-cycle basis as compared to equivalent petroleum-based products. These bioenergy technologies can enable a transition to a clean energy economy, create high-quality jobs, support rural economies, and spur innovation in renewable energy and chemicals production. The activities funded by BETO through this funding opportunity will mobilize public clean energy investment by addressing research and development (R&amp;D) challenges in the conversion of various seaweeds and blends of seaweeds (with wet waste feedstocks such as waste microalgae) to low-carbon fuels and chemicals. These activities can also help develop solutions for communities that are affected by harmful algal blooms to reduce the costs associated with managing these wastes. _x000D_
_x000D_
The priority of FECMâ€™s Carbon Conversion Program is to develop multiple pathways by which captured and concentrated carbon dioxide (CO2) is converted into economically viable and environmentally sustainable products. The near-term objective of this programâ€™s R&amp;D is to accelerate deployment of carbon management technologies through the conversion of CO2 into value-added products. Under this FOA, applications are sought that use anthropogenic carbon dioxide emissions in the cultivation process and then convert macro and/or micro algae into low carbon products. Conversion for agricultural products such as animal feed are of particular interest. _x000D_
_x000D_
Algae is a promising type of renewable biomass-based feedstock with the potential to contribute to BETOâ€™s and FECMâ€™s missions and help meet the aggressive clean energy goals being pursued by DOE. For purposes of this FOA, â€œalgaeâ€ includes microalgae, cyanobacteria, and macroalgae (also referred to as seaweed).  All types of algae may be of interest to this FOA, subject to the topic-specific requirements described in each Topic Area. _x000D_
_x000D_
â€¢	Topic Area 1: Conversion of Seaweeds to Low-Carbon Fuels and Bioproducts  _x000D_
â€¢	Topic Area 2: Conversion of Algal Biomass for Low-Carbon Agricultural Bioproducts_x000D_
_x000D_
Questions regarding the FOA must be submitted to MacroFOA@ee.doe.gov._x000D_
_x000D_
The eXCHANGE system is currently designed to enforce hard deadlines for Concept Paper and Full Application submissions. The APPLY and SUBMIT buttons automatically disable at the defined submission deadlines. The intention of this design is to consistently enforce a standard deadline for all applicants._x000D_
_x000D_
Applicants that experience issues with submissions PRIOR to the FOA Deadline: In the event that an Applicant experiences technical difficulties with a submission, the Applicant should contact the eXCHANGE helpdesk for assistance (exchangehelp@hq.doe.gov). The eXCHANGE helpdesk and/or the EERE eXCHANGE System Administrators (eXCHANGE@ee.doe.gov) will assist the Applicant in resolving all issues._x000D_
_x000D_
Applicants that experience issues with submissions that result in a late submission: In the event that an Applicant experiences technical difficulties with a submission that results in a late submission, the Applicant should contact the eXCHANGE helpdesk for assistance (exchangehelp@hq.doe.gov). The eXCHANGE helpdesk and/or the EERE eXCHANGE System Administrators (eXCHANGE@ee.doe.gov) will assist the Applicant in resolving all issues (including finalizing the submission on behalf of, and with the Applicant's concurrence). DOE will only accept late applications when the Applicant has a) encountered technical difficulties beyond their control; b) has contacted the eXCHANGE helpdesk for assistance; and c) has submitted the application through eXCHANGE within 24 hours of the FOA's posted deadline._x000D_
_x000D_
Please view the full FOA by visiting EERE-Exchange.energy.gov._x000D_
_x000D_
The required Concept Paper due date for this FOA is 05/10/2024 at 5PM ET. The Full Application due date for this FOA is 6/27/2024 at 5PM ET.</t>
  </si>
  <si>
    <t>Public Health Partnerships to Accelerate Prevention and Control of Infectious Diseases and Emerging Public Health Threats in China and Globally</t>
  </si>
  <si>
    <t>HHS-CDC-GHC</t>
  </si>
  <si>
    <t>Centers for Disease Control-GHC</t>
  </si>
  <si>
    <t>Unrestricted (i.e., open to any type of entity above), subject to any clarification in text field entitled "Additional Information on Eligibility" N/A</t>
  </si>
  <si>
    <t>This 5-year projectâ€™s purpose is to continue collaboration with counterparts in China to reduce the threat of infectious disease transmission, in China, the U.S. and the world. This collaboration contributes to enhancing the technical collaboration, scientific exchange, and effective communication to promote health through trusted and robust partnerships between U.S. CDC and counterparts in China. The program has three broad goals: 1) strengthen public health systems and workforce capacity, 2) decrease the burden of TB, and 3) reduce influenza morbidity and mortality and enhance preparedness for pandemic threats. Activities may include joint investigations and monitoring of disease outbreaks, piloting innovative public health interventions, translating programmatic success to practice and policy, working in third countries to jointly respond to a public health emergency, and promoting rapid and transparent dissemination of public health data. This collaboration strives to leverage the expertise in China to share knowledge and evidence-based science for a bi-lateral exchange that mutually benefits the U.S. and China. By identifying governmental, non-governmental, multilateral, and private sector organizations in China, the partnership builds sustainable expertise and capacity in global health security and public health systems. Depending on funding availability and priorities, the specific infectious disease entities to be addressed can change over the period of performance.</t>
  </si>
  <si>
    <t>Senior Community Service Employment Program (SCSEP) Optional Demonstration Grants on Sector-Based Training for Low-Income Older Adult Workers</t>
  </si>
  <si>
    <t>City or township governments To be eligible to apply for the SCSEP Sector Training Demonstration Grant funding under this FOA, applicants must be a current SCSEP National grantee, having received an award in Program Year 2020 under funding opportunity number FOA-ETA-20-09.  To be eligible to receive an award for the SCSEP Sector Training Demonstration Grant funding under this FOA, the applicant must also concurrently apply to and be selected for the PY 2024 SCSEP National Grant Competition (FOA-ETA-24-11), which is a separate funding opportunity announcement that published to grants.gov in March 2024.</t>
  </si>
  <si>
    <t>Questions regarding this Funding Opportunity Announcement (FOA) may be emailed to SCSEP.OGM@dol.gov; however, please note there is limited information that may be shared with the public.</t>
  </si>
  <si>
    <t>Addiction Technology Transfer Centers Cooperative Agreements</t>
  </si>
  <si>
    <t>Others (see text field entitled "Additional Information on Eligibility" for clarification) Eligible applicants are States and Territories, including the District of Columbia, political subdivisions of States, Indian tribes, or tribal organizations (as such terms are defined in section 5304 of title 25), health facilities, or programs operated by or in accordance with a contract or award with the Indian Health Service, or other public or private non-profit entities.</t>
  </si>
  <si>
    <t xml:space="preserve">The purpose of this program is to develop and strengthen the specialized behavioral healthcare and primary healthcare workforce that provides substance use disorder (SUD) treatment and recovery support services. Recipients will be expected to: accelerate the adoption and implementation of evidence-based, culturally-informed and promising SUD treatment and recovery-oriented practices and services; heighten the awareness, knowledge, and skills of the workforce that addresses the needs of people with substance use or other co-occurring health disorders; and foster regional and national alliances among culturally diverse practitioners, researchers, policy makers, funders, and the recovery community. </t>
  </si>
  <si>
    <t>Minority Fellowship Program</t>
  </si>
  <si>
    <t>Others (see text field entitled "Additional Information on Eligibility" for clarification) Eligibility is limited to nationally representative mental health and/or substance use disorder treatment professional organizations within eight professional fields: psychiatry, nursing, social work, psychology, marriage and family therapy, mental health counseling, substance use disorder and addictions counseling, and addiction medicine.</t>
  </si>
  <si>
    <t>The purpose of this program is to recruit, train, and support masterâ€™s and doctoral-level students in behavioral health care professions to address services disparities for racial and ethnic minority populations.</t>
  </si>
  <si>
    <t>Paul Coverdell National Acute Stroke Program</t>
  </si>
  <si>
    <t>Private institutions of higher education N/A</t>
  </si>
  <si>
    <t>Every year more than 795,000 people in the United States have a stroke. On average, thatâ€™s 1 person every 40 seconds. On average, 1 American dies from a stroke every 3 minutes and 14 seconds. Approximately 9.4 million American adults â‰¥20 years of age self-report having had a stroke. These data are disturbing, more so as 80% of strokes are preventable.Prevention begins with implementing equity-focused systems and interventions that assist populations at the highest risk in detecting and managing cardiovascular disease (CVD) and mitigating systemic social conditions that contribute to the increased prevalence of CVD. Roughly 1 in 10 (9.9% â‰ˆ 28.6 million) adults in the US have at least 1 type of CVD, including coronary heart disease, heart failure, or stroke. This number excludes hypertension, a risk factor for and cause of CVD but not a type of CVD. However, hypertension or high blood pressure is a critical risk factor for stroke. An estimated 120 million American adults (48.1%) have it, most (3 in 4) donâ€™t have it controlled, and 1 in 5 adults is unaware they have hypertension. High blood cholesterol, smoking, obesity, and diabetes also contribute to stroke risk.Heart disease, stroke, and their modifiable risk factors are experienced disproportionately throughout the US population based on race and ethnicity, social factors, and geography. Non-Hispanic Black Americans have a higher prevalence and highest death rate from stroke than any other racial group. While non-Hispanic Blacks had the highest age-adjusted stroke death among all races and ethnicities (59.6 per 100,000) in 2021, the age-adjusted stroke death rate for individuals across the board increased from 38.8 per 100,000 in 2020 to 41.1 per 100,000 in 2021. Stroke deaths also increased in southern states, where populations at a higher risk, specifically communities of color, exist. These numbers highlight the critical need to improve access to quality care for those at the highest risk of stroke and for stroke patients.In 2001, Congress provided funding to CDC to establish the Paul Coverdell National Acute Stroke Registry, named after the late US Senator Paul Coverdell of Georgia, who suffered a fatal stroke in 2000 while serving in Congress. In 2012, as the program expanded, the name changed to the Paul Coverdell National Acute Stroke Program. The aim has been to support the implementation of comprehensive stroke systems for individuals at the highest risk of stroke and for stroke patients across the continuum of care from the onset of stroke symptoms through rehabilitation and recovery.This new iteration of Coverdell supports state stroke systems in partnerships with learning collaboratives or coalitions to improve state-level stroke care for those at the highest risk. Recipients will be required to execute a dual approach to addressing stroke in the coordinated systems of care and the implementation of prevention activities in community settings. Recipients will continue their collection and analysis of in-hospital stroke data for those who have experienced a stroke while adding a deep focus on understanding and mitigating the stroke risks among individuals in their communities, also ensuring post-discharge follow-up in either rehabilitation facilities or other community-supportive recovery services.This NOFO requires Coverdell recipients to integrate their work with CDCâ€™s other funded programs in states where they exist to mitigate systemic inequities and reduce the prevalence of CVD and hypertension so that another person doesnâ€™t die from a stroke every 3 minutes and 14 seconds.</t>
  </si>
  <si>
    <t>Supporting Bangladesh Law Enforcement Capacity Building for Rehabilitation and Reintegration of Terrorist Offenders and for Preventing and Countering Violent Ex</t>
  </si>
  <si>
    <t>Others (see text field entitled "Additional Information on Eligibility" for clarification)  Not-for-profit organizations, including think tanks and civil society/non-governmental organizations
  Public and private educational institutions
  Public International Organizations (PIOs) and Governmental institutions</t>
  </si>
  <si>
    <t>The Bureau of Counterterrorism (CT) of the U.S. Department of State announces an open competition for organizations to submit applications for a program to support and enhance the ongoing Bangladeshi project to promote the rehabilitation and reintegration of terrorist offenders being implemented by the Dhaka Metropolitan Policeâ€™s Counterterrorism and Transnational Crime unit (DMP/CTTC) and the non-government organization Centre for Alternatives (CFA).</t>
  </si>
  <si>
    <t>Teaching with Primary Sources - Continuing Awards for FY25-FY27</t>
  </si>
  <si>
    <t>LOC</t>
  </si>
  <si>
    <t>Library of Congress</t>
  </si>
  <si>
    <t>Others (see text field entitled "Additional Information on Eligibility" for clarification) Eligible Applicants must: a)	Be continuing TPS Consortium member organizations that have received no more than three years of TPS funding directly from the Library of Congress and have created teaching materials, tools, programs, and approaches based on Library of Congress primary sources, using TPS awards; and b) Present a compelling plan to disseminate the materials, tools, and approaches developed during their previous TPS grant funding to expanded audiences, through new and established partners and networks   within and outside of the TPS Consortium, and the other Library networks associated with the Center of the Book, Literacy Awards Program and Connecting Communities Digital Initiative.</t>
  </si>
  <si>
    <t>Teaching with Primary Sources Program (TPS) 
The Teaching with Primary Sources program has been the Library of Congressâ€™s premier educational outreach program. The goals of the program have included providing instructional materials, tools, education and professional development that enhance teachersâ€™ ability to integrate digitized primary sources from the Library of Congress into instruction that builds student literacy, critical thinking skills, content knowledge and ability to conduct original research. Since the establishment of the Center for Learning, Literacy and Engagement in 2018, and the release of the Libraryâ€™s 2019-23 and 2024-2028 Strategic Plans, the TPS goals are both influencing and reflecting the Libraryâ€™s broader outreach goals. TPS Consortium members are valued as â€œConnectorsâ€ who help the Library achieve its vision of connecting to all Americans. www.loc.gov/teachers 
Notice of Funding Opportunity (NOFO) for Continuing Awards (FY25-FY27) 
With this Notice, the Library seeks to solicit project proposals from current TPS Consortium members that expand the use of teaching materials, tools, and strategies they developed under previous TPS awards. This opportunity is only open to Teaching with Primary Sources (TPS) Program Consortium Members who have received grants directly from the Library and who meet the eligibility requirements as stated in this Notice. 
Specifically, the Library of Congress seeks to provide funding to experienced TPS providers to disseminate their TPS teaching materials, tools, programming, and research to meet the needs of learners representing specific professions, ethnicities, geographic locations, abilities, interests, affiliations, and other attributes. 
Successful applicants will extend their outreach to groups of educators and learners they have identified as being underserved by the TPS program. Applicants must describe how they will support current and new audiences by reviewing and revising products they developed under TPS; modifying TPS products to enhance their value to educators and learners; and developing strategies and networks that facilitate outreach to targeted populations.  
Applicants must submit project proposals that address demonstrated educational needs of specific recipient populations with solutions that standard practice, documented experience, or research suggest would be effective. 
Submission Information 
All proposals must be submitted electronically via email to tps-grant@loc.gov. Proposals submitted through Grants.gov will not be accepted. 
For full NOFO details, award project criteria, eligibility, and requirements, please view the Related Documents tab for this listing.</t>
  </si>
  <si>
    <t>Teaching with Primary Sources - New Awards for FY25-FY27</t>
  </si>
  <si>
    <t>Small businesses Collaborative partnerships (such as an organization with content expertise paired with a state or regional educational entity). See full Notice for additional information on Eligibility Requirements.</t>
  </si>
  <si>
    <t>Teaching with Primary Sources Program (TPS) 
The Teaching with Primary Sources program has been the Library of Congressâ€™s premier educational outreach program. The goals of the program have included providing instructional materials, tools, education and professional development that enhance teachersâ€™ ability to integrate digitized primary sources from the Library of Congress into instruction that builds student literacy, critical thinking skills, content knowledge and ability to conduct original research. Since the establishment of the Center for Learning, Literacy and Engagement in 2018, and the release of the Libraryâ€™s 2019-23 and 2024-2028 Strategic Plans, the TPS goals are both influencing and reflecting the Libraryâ€™s broader outreach goals. TPS Consortium members are valued as â€œConnectorsâ€ who help the Library achieve its vision of connecting to all Americans. www.loc.gov/teachers 
Notice of Funding Opportunity (NOFO) for New Awards (FY25-FY27) 
The purpose of this notice is to identify awardee organizations that will design and implement educational projects in which the Libraryâ€™s digitized primary sources and other online materials are central to teaching and learning. The Library seeks to solicit project proposals that expand the body of innovative strategies, tools, and materials for meaningful teaching and learning with Library of Congress materials. 
Specifically, the Library of Congress seeks to make awards to support the creative and wide-ranging educational use of Library online resources that serves sub populations of Americans based on their unique professions, ethnicities, geographic locations, abilities, interests, affiliations, and other attributes.  
In support of the Libraryâ€™s mission to use its collections to connect with those representing diverse communities, beliefs, and endeavors to engage, inspire, and inform Congress and the American people with a universal and enduring source of knowledge and creativity, the Professional Learning and Outreach Initiatives Office (PLOI), within the Center for Learning, Literacy and Engagement, has broadened the focus of TPS awards to include the design of educational projects using Library of Congress materials for use in and outside of formal classroom settings. 
Proposed projects may focus on diverse content areas such as Science, technology, engineering, and mathematics (STEM), literacy (including media literacy), social studies, civics, art, teacher education, public health, journalism, justice and equality, and other areas that coincide with applicantsâ€™ passions, expertise, and professional experience. However, the project must address demonstrated educational needs of specific recipient populations and provide solutions that standard practice, documented experience, or research suggest would be effective. 
Submission Information 
All proposals must be submitted electronically via email to tps-grant@loc.gov. Proposals submitted through Grants.gov will not be accepted. 
For full NOFO details, award project criteria, eligibility, and requirements, please view the Related Documents tab for this listing.</t>
  </si>
  <si>
    <t>OSERS: RSA: Disability Innovation Fund (DIF)--Creating a 21st Century Workforce of Youth and Adults with Disabilities Through the Transformation of Education, Career, and Competitive Integrated Employment Model Demonstration Project, ALN 84.421F</t>
  </si>
  <si>
    <t>Nonprofits having a 501(c)(3) status with the IRS, other than institutions of higher education 1.  Eligible Applicants:  	State agencies or their equivalents under State law: (1) State Educational Agency; (2) State Juvenile Justice agency; (3) State Developmental Disabilities agency; (4) State Department of Health; (5) State Department of Human Services; or (6) Designated State unit for Vocational Rehabilitation Services.   	Public, Private and Nonprofit Entities, including Indian Tribes and Institutions of Higher Education.Note:  The regulations in 34 CFR part 79 apply to all applicants except federally recognized Indian Tribes.  Note: The regulations in 34 CFR part 86 apply to Institutions of Higher Education only. 	Note: The regulation 34 CFR   75.51 How to prove nonprofit status applies to nonprofits and requires documentation to prove its nonprofit status. (a) Under some programs, an applicant must show that it is a nonprofit organization. (See the definition of nonprofit in 34 CFR 77.1.)  (b) An applicant may show that it is a nonprofit organization by any of the following means: (1) Proof that the Internal Revenue Service currently recognizes the applicant as an organization to which contributions are tax deductible under section 501(c)(3) of the Internal Revenue Code; (2) A statement from a State taxing body or the State attorney general certifying that: (i) The organization is a nonprofit organization operating within the State; and (ii) No part of its net earnings may lawfully benefit any private shareholder or individual; (3) A certified copy of the applicant's certificate of incorporation or similar document if it clearly establishes the nonprofit status of the applicant; (4) Any item described in paragraphs (b)(1) through (3) of this section if that item applies to a State or national parent organization, together with a statement by the State or parent organization that the applicant is a local nonprofit affiliate; or (5) For an entity that holds a sincerely held religious belief that it cannot apply for a determination as an entity that is tax-exempt under section 501(c)(3) of the Internal Revenue Code, evidence sufficient to establish that the entity would otherwise qualify as a nonprofit organization under paragraphs (b)(1) through (4) of this section.</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</si>
  <si>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purpose of the Disability Innovation Fund (DIF) Program, as provided by the Consolidated Appropriations Act, 2023 (Pub. L. 117-328), is to support innovative (as defined in this notice) activities aimed at increasing competitive integrated employment (CIE) as defined in section 7 of the Rehabilitation Act of 1973 (Rehabilitation Act) (29 U.S.C. 705(5))[1] for youth and other individuals with disabilities.  
Assistance Listing Number (ALN) 84.421F. 
[1] See 34 CFR 361.5(c)(9) for the regulatory definition of "competitive integrated employment," which further clarifies the definition in the Rehabilitation Act.</t>
  </si>
  <si>
    <t>Designing for Democratic Resilience and Renewal</t>
  </si>
  <si>
    <t>Drawing on the science of prebunking and the popularity and penetration of video games, the implementer will develop an evergreen game in a sandbox platform, with an existing fan base, in which participants play a game that builds cognitive resilience to authoritarianism and promotes democratic norms and values.  The game will increase player skepticism of foreign propaganda and disinformation by increasing player media literacy and digital safety.</t>
  </si>
  <si>
    <t>Synthetic Media Literacy and Digital Safety Curricula, Public Service Announcement Campaign, and Conference</t>
  </si>
  <si>
    <t>Drawing on the science of prebunking, the growing danger from synthetic media, and the popularity and penetration of online games and social media, the  implementer will develop media literacy and digital safety curricula and organize three public service announcement (PSA) campaigns targeting students, parents, and educators in Ukraine. Afterwards, the implementer will organize a conference in Eastern Europe on synthetic media literacy.</t>
  </si>
  <si>
    <t>Foreign Propaganda and Disinformation in Gaming Research and Convening</t>
  </si>
  <si>
    <t>GEC seeks to understand through quantified and qualified research the scope and scale of foreign propaganda and disinformation occurring in games and game-adjacent platforms in Eastern Europe. After completing the research, the implementer will organize a convening of governments, industry, and civil society to share the report and to discuss the findings and other related research.</t>
  </si>
  <si>
    <t>OJJDP FY24 Juvenile Justice System Reform and Reinvestment Initiative</t>
  </si>
  <si>
    <t>With this solicitation, OJJDP seeks to support statesâ€™ implementation of innovative and/or research-based, data-informed policies to improve  juvenile justice system outcomes and sustainable strategies for reinvesting resulting costs saved or averted into effective delinquency prevention and intervention programs.</t>
  </si>
  <si>
    <t>Farmed Cervid Chronic Wasting Disease Management and Response Activities 2024 Cooperative Agreements</t>
  </si>
  <si>
    <t>USDA-APHIS</t>
  </si>
  <si>
    <t>Animal and Plant Health Inspection Service</t>
  </si>
  <si>
    <t>Others (see text field entitled "Additional Information on Eligibility" for clarification) The following entities are eligible for funding through this opportunity: State departments of agriculture; State animal health agencies; State departments of wildlife or natural resources; Federally recognized Native American Tribal governments; and Native American Tribal organizations or universities representing Federally recognized Native American Tribal governments; Research institutes and universities</t>
  </si>
  <si>
    <t>This funding opportunity is provided to control and prevent CWD in farmed cervids through the development and/or implementation of CWD surveillance, testing, management, and response activities. Proposals can include the use of funds for the indemnification and removal of CWD-affected farmed cervid herds and CWD-exposed cervids as part of an overall CWD management plan in accordance with 9 CFR Part 55.2.APHIS VS anticipates awarding around $6,050,000 in cooperative agreement funding5 for the following entities: State departments of agriculture; State animal health agencies; State departments of wildlife or natural resources; Federally recognized Native American Tribal governments and Native American Tribal organizations or universities representing Federally recognized Native American Tribal governments; and research institutions and universities.An eligible applicant may submit multiple proposals for this funding opportunity, requesting up to $250,000 per proposal for activities to control or prevent CWD in farmed cervids. Applicants who wish to submit multiple proposals must submit each proposal as a separate proposal package.The overall objectives of the funding opportunity are to control, manage, and/or prevent CWD in farmed cervids. Through this funding opportunity, APHIS VS is soliciting collaborators who will further develop and implement farmed cervid CWD surveillance, testing, management, and response activities. Proposals can include the use of funds for the indemnification and removal of CWD-affected farmed cervid herds and CWD-exposed cervids as part of an overall CWD management plan in accordance with 9 CFR Part 55.2. Funds may also be provided for applied research7 to further develop and evaluate tools, techniques, and strategies for identifying, preventing, and controlling CWD in farmed cervids.</t>
  </si>
  <si>
    <t>Wild Cervid Chronic Wasting Disease Management and Response Activities 2024 Cooperative Agreements</t>
  </si>
  <si>
    <t>Others (see text field entitled "Additional Information on Eligibility" for clarification) This competitive opportunity is open to the following entities: State departments of agriculture; State animal health agencies; State departments of wildlife or natural resources; Federally recognized Native American Tribal governments and Native American Tribal organizations or universities representing Federally recognized Native American Tribal governments; and research institutions and universities. State agencies and Tribes, or in the case of Native American Tribal organizations or universities, the Native American Tribal governments they are representing, must have regulatory oversight or direct responsibility for wild cervids to be eligible.</t>
  </si>
  <si>
    <t>In this 2024 announcement, APHIS WS will make around $5,500,000 in cooperative agreement funding to control and prevent chronic wasting disease (CWD) in wild cervids, including the development and/or implementation of CWD surveillance, testing, management, and response activities. The amount available will be based on the FY24 Congressional appropriations language and directions.</t>
  </si>
  <si>
    <t>USDA APHIS Tribal Nations Wild Cervid Chronic Wasting Disease Opportunities 2024 Cooperative Agreements</t>
  </si>
  <si>
    <t>Others (see text field entitled "Additional Information on Eligibility" for clarification) This competitive opportunity is open to the following entities, provided they have regulatory oversight or direct responsibility for wild cervids: Federally recognized Native American Tribal governments</t>
  </si>
  <si>
    <t>In this 2024 opportunity, APHIS WS will make around $500,000 in cooperative agreement funding to control and prevent chronic wasting disease (CWD) in wild cervids, including the development and/or implementation of CWD surveillance, testing, management, and response activities on lands owned or managed by Tribal entities. The amount available will be based on the FY24 Congressional appropriations language and directions.</t>
  </si>
  <si>
    <t>Achieving Global Health Security Through Strengthening Public Health Emergency Preparedness and Management Platforms in Liberia</t>
  </si>
  <si>
    <t>This Notice of Funding Opportunity (NOFO) expands national-to-subnational coordination to detect outbreaks and manage responses earlier, advance the National Public Health Institute of Liberiaâ€™s (NPHIL) broad vision for Liberiaâ€™s emergency response framework (ERF), and develop a national emergency management training program to support countiesâ€™ response capacity.</t>
  </si>
  <si>
    <t>FY24 Choice Neighborhoods Planning Grants NOFO</t>
  </si>
  <si>
    <t>Others (see text field entitled "Additional Information on Eligibility" for clarification) Eligible applicants are Public Housing Agencies (PHAs), local governments, Tribal Entities, and nonprofits.  Refer to the Program Definitions in Section I.A.4.b for how these terms are defined in the Choice Neighborhoods program.    Individuals, foreign entities, and sole proprietorship organizations are not eligible to compete for, or receive, awards made under this announcement.</t>
  </si>
  <si>
    <t>Choice Neighborhoods Planning Grants support the development of a comprehensive plan to revitalize severely distressed public housing and/or HUD-assisted housing and the surrounding neighborhood. Using these grant funds, communities will undertake certain activities that lead to the creation of a comprehensive neighborhood revitalization strategy, or Transformation Plan. The Transformation Plan will become the guiding document to carryout subsequent implementation of the plan to achieve the program's three core goals: Housing, People and Neighborhood - redevelop the target housing while simultaneously directing the transformation of the surrounding neighborhood and positive outcomes for families.</t>
  </si>
  <si>
    <t>Kenya Digital Health Ecosystem</t>
  </si>
  <si>
    <t>USAID-KEN</t>
  </si>
  <si>
    <t>Kenya USAID-Nairobi</t>
  </si>
  <si>
    <t>Others (see text field entitled "Additional Information on Eligibility" for clarification) Eligibility for this award is restricted to local organizations in Kenya. However, USAID strongly encourages these organizations to collaborate with at least one international entity as a sub-recipient and apply as a consortium.</t>
  </si>
  <si>
    <t>Kenya Digital Health Ecosystemâ€™s (KDHE) overall purpose is â€œIncreased countryâ€™s ownership and management of one national integrated and comprehensive sector-wide health information ecosystem, to achieve health systems outcomes of equity, quality, and resources optimizationâ€.</t>
  </si>
  <si>
    <t>Establishing Ukrainian eSports Counter Disinformation Teams and Tournament</t>
  </si>
  <si>
    <t>Leveraging the popularity and penetration of video games in Eastern Europe, the implementer will develop an eSports program at American Spaces in Ukraine.  eSports athletes will need professional training to form a talent pipeline to professional teams in Ukraine. In tandem with traditional eSports training, these athletes will receive counter disinformation/conflict resolution training to confront foreign propaganda and disinformation in competitive online gaming spaces. The project will culminate with an eSports tournament and coalition-building event on the sidelines of the tournament.</t>
  </si>
  <si>
    <t>OJJDP FY24 Reducing Risk for Girls in the Juvenile Justice System</t>
  </si>
  <si>
    <t xml:space="preserve">County governments </t>
  </si>
  <si>
    <t>With this solicitation, OJJDP seeks to support communities to assist girls age 17 and younger who are at risk of involvement and/or involved in the juvenile justice system. Funding will support communities to develop, enhance, or expand early intervention programs and/or treatment services for girls involved in the juvenile justice system.</t>
  </si>
  <si>
    <t>OVW Fiscal Year 2024 Grants to Reduce Domestic Violence, Dating Violence, Sexual Assault, and Stalking on Campus Program</t>
  </si>
  <si>
    <t>Others (see text field entitled "Additional Information on Eligibility" for clarification) Eligible applicants are limited to: Institutions of higher education in the United States and U.S. territories.</t>
  </si>
  <si>
    <t>This program is authorized by 34 U.S.C. Â§ 20125. The Grants to Reduce Domestic Violence, Dating Violence, Sexual Assault, and Stalking on Campus Program (Campus Program) (CFDA# 16.525) provides funding for institutions of higher education to develop and strengthen effective security and investigation strategies to combat domestic violence, dating violence, sexual assault, and stalking on campus, develop and strengthen victim services in cases involving such crimes on campus, and develop and strengthen prevention education and awareness programs.</t>
  </si>
  <si>
    <t>FY 2025 PRM Notice of Funding Opportunity for Resettlement Support Centers (RSCs) Africa;  Asia; Austria; Eurasia; Latin America; MENA; and TuME</t>
  </si>
  <si>
    <t>Others (see text field entitled "Additional Information on Eligibility" for clarification) Nonprofits having a 501(c)(3) status with the IRS, other than institutions of higher education (U.S.-based NGOs must be able to demonstrate proof of non-profit tax status). Nonprofits without 501(c)(3) status with the IRS, other than institutions of higher education (overseas-based NGOs must be able to demonstrate proof of registration in country of domicile).  International Organizations.  International multilateral organizations, such as United Nations agencies, should not submit proposals through Grants.gov in response to this NOFO.  Multilateral organizations that are seeking funding for programs relevant to this announcement should contact the PRM POC (as listed below) before the closing date of the funding announcement.</t>
  </si>
  <si>
    <t>This announcement is designed to accompany PRMâ€™s General NGO Guidelines, which contain additional information on PRMâ€™s priorities and NGO funding strategy with which selected organizations must comply. As the NGO guidelines focus mainly on overseas humanitarian assistance, please use both the General NGO Guidelines and this announcement to ensure that your submission is in full compliance with PRM requirements and that the proposed activities are in line with PRMâ€™s priorities. Requirements in this announcement supersede those outlined in the general guidelines. Submissions that do not reflect the requirements outlined in these guidelines will not be considered. The Bureau will make one award each for; RSC Africa (based in Nairobi, Kenya); RSC Asia (based in Bangkok, Thailand); RSC Austria (based in Vienna, Austria); RSC Eurasia (based in Warsaw, Poland); RSC Latin America (based in San Salvador, El Salvador); RSC MENA (based in Amman, Jordan); and RSC TuME (based in Istanbul, TÃ¼rkiye), for an initial period beginning October 1, 2024, through September 30, 2025, subject to availability of funds. With this award, the Bureau will provide full financial support to the selected organization, based on the proposal submitted in response to this funding opportunity. Each of the seven awards will have the possibility of being extended for two additional fiscal years through September 30, 2027.</t>
  </si>
  <si>
    <t>Volunteer Community Care Corps: Expanding and Refining Models for Volunteer Programs to Support Older Adults, People with Disabilities, and their Family Caregivers</t>
  </si>
  <si>
    <t>Others (see text field entitled "Additional Information on Eligibility" for clarification) Eligible applicants include domestic public or private non-profit entities including state and local governments, Indian tribal governments and organizations (American Indian/Alaskan Native/Native American), faith-based organizations, community-based organizations, hospitals, and institutions of higher education. Foreign entities are not eligible to compete for, or receive, awards made under this announcement. Faith-based and community organizations that meet the eligibility requirements are eligible to receive awards under this funding opportunity announcement.</t>
  </si>
  <si>
    <t>Offering services and supports to older adults or persons with disabilities can enable them to maintain their independence and status in the community.  In addition, we recognize that family caregivers provide most of the support that makes it possible for older people and people with disabilities to live in the community. Providing care can take a physical, financial, and emotional toll on family caregivers. Offering assistance to family caregivers can make it easier for them to continue providing care and allows older adults and persons with disabilities the opportunity to remain in the community.In 2019, the Administration for Community Living (ACL) established a new grant program that is testing models of programming designed to place volunteers in communities to assist caregivers, older adults, and persons with disabilities in maintaining independence by providing non-medical care.  ACL proposes to continue the Volunteer Care Corps by funding a new one cooperative agreement to a national organization to advance the following broad objectives: â€¢ Test person-centered model approaches of delivering local volunteer programming to assist older adults, persons with disabilities and their family caregivers in maintaining their independence. â€¢ Evaluate locally developed test models to determine the benefit to volunteers, family caregivers, older adults, and persons with disabilities.â€¢ Develop and implement a plan to broadly disseminate proven local models for replication in other communities.</t>
  </si>
  <si>
    <t>HUDRD - HBCU Research Center of Excellence</t>
  </si>
  <si>
    <t>Private institutions of higher education Applicant must be an HBCU to be eligible.Current HBCU COE awardees are eligible to apply.Individuals, foreign entities, and sole proprietorship organizations are not eligible to compete for, or receive, awards made under this announcement. Individuals, foreign entities, and sole proprietorship organizations are not eligible to compete for, or receive, awards made under this announcement.</t>
  </si>
  <si>
    <t>The purpose of this NOFO is to fund research at one or more research Centers of Excellence (Centers or COEs, COE when singular) at Historically Black Colleges and Universities (HBCUs). The Centers will conduct research projects on topics of strategic interest to HUD and produce research that provides evidence-based solutions to housing, community development, economic development, or built environment challenges in underserved communities. Applicants must clearly specify proposed research projects and how they fill key knowledge and evidence gaps, describe their capacity to successfully conduct the proposed research and disseminate their findings to policymakers and other key stakeholders, and detail plans for developing and sustaining a Center of Excellence.Through this NOFO, HUD is seeking HBCUs with demonstrated capacity to conduct rigorous and policy-relevant research, develop actionable policy recommendations, and share findings with policymakers, community organizations and other key stakeholders able to implement policy and programmatic solutions to challenges in underserved communities. We encourage applicants to propose building on their demonstrated experience to do something new and innovative. We encourage the submission of proposals that draw on novel research approaches, including big data analytics, machine learning and artificial intelligence; community-engaged and participatory research; and novel partnerships such as academic consortia and collaboration with other Minority-Serving Institutions (MSIs), other Institutions of Higher Education, community-based organizations, or other federal, state and local government agencies. Partners can include subrecipients. Competitive applications will include action and sustainability plans, creative partnerships and collaboration models, multidisciplinary and holistic methodologies, and new or enhanced theory of change models designed to achieve transformative outcomes.HUD anticipates awarding up to four awards ranging from $1 million to $4 million. Using the funds made available through this NOFO, recipients will undertake multiple research projects.Research Projects: The research projects proposed by the applicant must be on topics of strategic interest to HUD that address challenges related to housing, community development, economic development, or the built environment in underserved communities. These topics may be from HUDâ€™s 2022-26 Learning Agenda, which identifies HUDâ€™s priority learning and research questions, consistent with the Departmental objectives and goals described in HUDâ€™s 2022-26 Strategic Plan.Other topics of strategic interest to HUD include:equity issues in local housing markets, broadly defined to include production and preservation, rental and homeownership, tenant protections, fair housing, zoning and land use, property appraisals, and property taxation;promoting housing stability and preventing people from experiencing homelessness;improvements and innovations in building codes, planning methods and construction technologies to address housing and community development needs and improve environmental sustainability and climate resilience;â€œgreenâ€ or energy-efficient practices in housing and carbon reduction strategies;disaster preparedness and disaster recovery;leveraging technology to address housing, community development, and economic development needs, improve the built environment, or create wealth-building opportunities in historically underserved communities;innovative solutions that allow residents of HUD-assisted rental housing and other low-income renters to access economic opportunities, quality education, affordable transportation, health care, essential services, green space, and cultural amenities;housing and community planning that addresses the needs of and engages underserved communities.HUD is particularly interested in research to both better understand and eliminate disparities in laws and policies, and in public and private institutions, that may deny equal housing and community-building opportunities to individuals and families in underserved communities, and support policy solutions to address these disparities and that can be applied to a wide variety of communities. Research should relate to a long-term goal (e.g., improving minority homeownership). Given the range of possible research topics, the research funded by this NOFO has the potential to address almost all of the goals and objectives in HUDâ€™s Strategic Plan.The proposed research should apply new and context-specific approaches and methods to studying challenges faced by underserved communities in urban or rural areas. Applicants should also describe how the proposed research would fill key knowledge and evidence gaps and how they plan to share findings with policymakers, community organizations and other key stakeholders able to implement policy and programmatic solutions to challenges in underserved communities. Applicants may wish to review previously approved published research to avoid duplication and illustrate what completed HUD research studies look like.Center of Excellence: The research Centers of Excellence (COEs) shall conduct rigorous and actionable research focused on housing, community development, economic development, and the built environment in underserved communities. COEs should take a multidisciplinary approach to the research and use innovative methods. Ultimately, the purpose of a COE will be to support evidence-based, data-driven, and community-informed policymaking and program improvements at the local, state, and national levels.The COE will serve as a platform for the formulation, analysis, and dissemination of innovative, evidence-based solutions to address problems confronting underserved communities. The COE will perform academic research, hold expert convenings, and conduct related activities designed to advance understanding of economic and social factors that affect communities, including housing, economic and workforce development, health and health care, education, civic engagement, public safety, and other dimensions of community health. Through academic programs, research projects, and thought leadership, the COE will help leaders across all levels of government, as well as the business and civic sectors, address critical issues that impact the social and economic well-being of the families and individuals who reside in underserved communities.Applicants are encouraged to consider and apply lessons from the experiences of and research produced at COEs at HBCUs and Hispanic-Serving Institutions (HSIs) funded through past HUD grants, as well as other university-based housing research centers.The awardee will be required to develop and submit a detailed plan for the development and long-term sustainability (beyond 5 years) of a Center of Excellence to continue the work started under this NOFO and serve as a leader in researching issues related to housing, community development, economic development, and the built environment in underserved communities. Eligible ActivitiesAwardees can use funds to conduct research projects on topics described in this NOFO and in their application that will contribute to the development of a sustainable research Center of Excellence. Funds can be used for a variety of research activities, including articulating research questions, establishing and implementing appropriate data analysis, communicating and sharing research findings, and producing informational tools and resources that improve practice.Center of Excellence does not refer to physical entities; HUD will not fund buildings or the rental and/or maintenance of office space. Funds may not be used for construction or other construction related activities, or for the purchase or lease of real property, or for the purchase of equipment.</t>
  </si>
  <si>
    <t>Empowering LGBTQI+ Community Leadership</t>
  </si>
  <si>
    <t>Others (see text field entitled "Additional Information on Eligibility" for clarification)   Not-for-profit organizations_x000D_
  Civil society/non-governmental organizations _x000D_
  Think tanks _x000D_
  Public and private educational institutions_x000D_
  Individuals_x000D_
  Public International Organizations and Governmental institutions</t>
  </si>
  <si>
    <t>The Embassy of the United States of America, New Delhi, announces an open competition to implement a program to promote equal access for LGBTQI+ communities by strengthening leadership capacity. This program is built upon the foundation of promoting inclusivity, equality, and accessibility of government services for the trans and intersex communities, recognizing their unique challenges in accessing education, healthcare, employment, and legal recourse against discrimination. Through a cascading 'train the trainer' model, this initiative aims to empower leaders within these communities to disseminate critical information and skills, creating a ripple effect of increased community engagement and awareness that will benefit India and the United States through improved health, education, economic strength, justice, and equality.Project goal is to promote the democratic value of equal access for all peoples, including minorities and marginalized groups, this project aims to build the capacity of trans and intersex community leaders in India, enabling them to effectively access, utilize, and advocate for government services and rights. Utilizing a peer education model, the project will create a sustainable model that empowers the trans and intersex communities from within, fostering resilience, awareness, and inclusivity.(Please refer to the full announcement available under 'related documents' tab)</t>
  </si>
  <si>
    <t>Travel Logistics Support for Belize In-country Training</t>
  </si>
  <si>
    <t>Others (see text field entitled "Additional Information on Eligibility" for clarification)  	U.S.-based non-profit/non-governmental organizations (NGOs); 	U.S.-based educational institutions subject to section 501(c)(3) of the U.S. tax code or section 26 US 115 of the US 115 of the U.S. tax code; 	Foreign-based non-profits/non-governmental organizations (NGOs); 	Foreign-based educational institutions</t>
  </si>
  <si>
    <t>The Bureau of International Narcotics and Law Enforcement Affairs of the U.S. Department of State announces an open competition for organizations to submit applications to carry out a project to provide logistical and administrative support to INL-Belize capacity building programs that provide training and other relevant activities to participants with the goal of enhancing the capacity of governmental institutions and to reduce crime. The logistics and administrative support services required are for programs implemented within the country of Belize only.</t>
  </si>
  <si>
    <t>AIR QUALITY INFORMATION: MAKING SENSE OF AIR POLLUTION DATA TO INFORM DECISIONS IN UNDERSERVED COMMUNITIES OVERBURDENED BY AIR POLLUTION EXPOSURES</t>
  </si>
  <si>
    <t>Others (see text field entitled "Additional Information on Eligibility" for clarification) Please see Section III of the funding opportunity announcement for eligibility information.</t>
  </si>
  <si>
    <t xml:space="preserve">The U.S. Environmental Protection Agency (EPA) Office of Research and Development (ORD), as part of the Science to Achieve Results (STAR) program and in collaboration with the Air, Climate, and Energy (ACE) research program, is seeking applications proposing community-engaged research in underserved communities to advance the use of air pollution data and communication of air quality information for empowering local decisions and actions that address community-identified air pollution concerns. Specifically, this funding opportunity is soliciting research projects that involve substantial engagement with communities, community-based organizations, and/or Tribes to address both of the following priorities:
 methods and tools for data integration and analysis to characterize community exposures to air pollution in underserved communities
 effective communication of air quality information to communities and decision makers to support actions to address air pollution concerns in underserved communities
This research solicitation supports the Administrationâ€™s priorities to address environmental justice (EJ), such as described in the following Executive Orders:
 Executive Order 13985: Advancing Racial Equity and Support for Underserved Communities Through the Federal Government
 Executive Order 14008: Tackling the Climate Crisis at Home and Abroad
 Executive Order 14091: Further Advancing Racial Equity and Support for Underserved Communities Through the Federal Government
 Executive Order 14096: Revitalizing Our Nation's Commitment to Environmental Justice for All
</t>
  </si>
  <si>
    <t>Disability and Rehabilitation Research Project: Development and Distribution of Mobile Applications For Use By People With Disabilities</t>
  </si>
  <si>
    <t>For profit organizations other than small businesses States; public or private agencies, including for-profit agencies; public or private organizations, including for-profit organizations; IHEs; and Indian tribes and tribal organizations. Foreign entities are not eligible to compete for, or receive, awards made under this announcement. Faith-based and community organizations that meet the eligibility requirements are eligible to receive awards under this funding opportunity announcement.</t>
  </si>
  <si>
    <t>Under this particular DRRP funding opportunity, applicants must propose to conduct development and knowledge translation activities to facilitate the efficient development and distribution of mobile applications for use by people with disabilities. Mobile applications developed and distributed under this priority must be used to improve outcomes among people with disabilities in one or more of NIDILRRâ€™s outcome domains: (1) community living and participation, (2) health and function, and (3) employment. This grant will have a 60-month project period with five 12-month budget periods.</t>
  </si>
  <si>
    <t>Countering Trafficking in Persons and Support to Vulnerable Populations (CTIP/V) Activity</t>
  </si>
  <si>
    <t>USAID-UKR</t>
  </si>
  <si>
    <t>Ukraine USAID-Kiev</t>
  </si>
  <si>
    <t xml:space="preserve">The purpose of the new Countering Trafficking in Persons and Support to Vulnerable Populations (CTIP/V) activity is to (1) prevent trafficking in persons (TIP) through a strengthened comprehensive, government-led counter-trafficking response and (2) to ensure nationwide access to trauma-informed and survivor-centered recovery and reintegration services for victims of trafficking, exploitation, gender-based violence (GBV) (particularly intimate-partner violence and conflict-related sexual violence (CRSV)), and detention/torture.
This Activity has four main objectives:
Objective 1: Understanding of TIP risks and prevention strategies increased, especially among government officials and vulnerable groups.
Objective 2: Sustainability and availability of comprehensive, trauma-informed protection services increased to ensure seamless access for victims of trafficking and war-related trauma across Ukraine.
Objective 3: Prosecution of those willfully engaged in TIP strengthened.
Objective 4: Partnerships developed and strengthened across government, civil society, and socially responsible businesses to counter TIP at the decentralized, national, and European regional levels.
USAID intends to award one (1) Cooperative Agreement pursuant to this NOFO. Subject to funding availability and at the discretion of the Agency, USAID intends to provide no more than $24,000,000 in total USAID funding over a five (5) year period. 
</t>
  </si>
  <si>
    <t>Conservation Reserve Program (CRP) FY24 Monitoring, Assessment, and Evaluation (MAE) Opportunity</t>
  </si>
  <si>
    <t>USDA-FSA</t>
  </si>
  <si>
    <t>Farm Service Agency</t>
  </si>
  <si>
    <t xml:space="preserve">Special district governments </t>
  </si>
  <si>
    <t xml:space="preserve">Summary 
FSA is announcing the availability of cooperative agreement funding for up to $10 million to monitor, assess, and evaluate conservation approaches and technologies in conjunction with the Conservation Reserve Program. Projects are expected to inform policy and/or improve delivery of the Conservation Reserve Program. For 2024, applications will be accepted from eligible entities for projects addressing at least one of the following priorities: 
Ecosystem Benefits 
 Assess CRPâ€™s impact on natural resources such as climate mitigation/adaptation, wildlife habitat, water quality/quantity, and soil health. 
Bottom Up, Middle Out 
 Evaluate CRPâ€™s role in strengthening farm operationsâ€™ viability and resilience. Develop program delivery strategies that improve the CRPs function to support economic growth and stability within rural communities.  
Citizen Science 
 Identify ways for agricultural producers to monitor conditions on and share lessons learned from enrolled CRP acres.  
Evaluating CRP in the Big Picture 
 Evaluating and developing strategies of how CRP fits into a larger framework of natural resources management and conservation. 
Applications will be accepted from all non-Foreign, non-Federal entities (see Section C-Eligible Applicants). Projects may be between 1 and 5 years in duration. The minimum amount for an award is $500,000, while the maximum amount for an award is $5 million. 
Applicants are encouraged to visit the MAE website (https://www.fsa.usda.gov/programs-and-services/economic-and-policy-analysis/natural-resources-analysis/mae-reports-and-articles/index) to learn more about the MAE program and past projects. 
For new users of Grants.gov, see Section D. of the full Notice of Funding Opportunity for information about steps required before submitting an application via Grants.gov. 
Key Dates 
Applicants must submit their applications via Grants.gov by 11:59 pm Eastern Time on May 31, 2024. For technical issues with Grants.gov, contact Grants.gov Applicant Support at 1-800-518-4726 or support@grants.gov. Awarding agency staff cannot support applicants regarding Grants.gov accounts. 
For inquiries specific to the content of the NOFO requirements, contact the federal awarding agency contact (section G of this NOFO). Please limit questions to those regarding specific information contained in this NOFO (such as dates, page numbers, clarification of discrepancies, etc.). Questions related to eligibility or the merits of a specific proposal will not be addressed. 
The agency anticipates making selections by July 12, 2024, and expects to execute awards by September 30, 2024. These dates are estimates and are subject to change. </t>
  </si>
  <si>
    <t>Fiscal Year 2023 Pollinator-Friendly Practices on Roadsides and Highway Rights-of-Way Program</t>
  </si>
  <si>
    <t>Others (see text field entitled "Additional Information on Eligibility" for clarification) State DOTs, Indian tribes, and Federal Land Management Agencies (FLMAs) (23 U.S.C. 332(b))-------For the purposes of the Roadside Pollinator Program, a   refers to the 50 States, the District of Columbia, and Puerto Rico. See 23 U.S.C. 101(a)(28). A State DOT refers to the department of a State responsible for highway construction. For the purposes of defining  Indian Tribe,  this NOFO is using the definition of the term in 23 U.S.C. 171, meaning any Indian or Alaska Native tribe, band, nation, pueblo, village, or community that is recognized as eligible for the special programs and services provided by the United States to Indians because of their status as Indians and also including a Native village and a Native Corporation, as those terms are defined in section 3 of the Alaska Native Claims Settlement Act (which is codified at 43 U.S.C. 1602).</t>
  </si>
  <si>
    <t>Section 11528 of the Bipartisan Infrastructure Law (BIL), enacted as the Infrastructure Investment and Jobs Act (Pub. L. 117-58, November 15, 2021), established the Pollinator-Friendly Practices on Roadsides and Highway Rights-of-Way Program (Roadside Pollinator Program), codified at 23 U.S.C. 332. This is the first NOFO under this program, and the total amount of funding available in this NOFO is up to $3 million. FHWA will award funding to State DOTs, Indian Tribes, and Federal Land Management Agencies (FLMAs) who are seeking to benefit pollinators on roadsides and highway rights-of-way on routes eligible for Federal-aid.The goals of the Roadside Pollinator Program are to fund the implementation, improvement, or further development of the applicantsâ€™ Pollinator Friendly Practices Plan (Plan) on routes eligible for Federal-aid. The United States has an estimated 3.9 million miles of roadway and suitable roadsides and rights-of-way represent a significant area that can be transformed into pollinator habitat through the planting of native plants and wildflowers. Roadsides can provide habitat for a diverse community of pollinators, including opportunities to forage for feeding, nesting and breeding. Roadsides extend across a variety of landscapes and can support ecological connectivity and the dispersal of pollinators by linking fragmented habitats. By acting as refugia for pollinators in otherwise inhospitable landscapes, roadside habitat can contribute to the maintenance of healthy ecosystems and provision of ecological services such as crop pollination services.The Roadside Pollinator Program is a unique program that has some important differences from other FHWA and DOT discretionary grant programs, including the requirement for an applicant to submit a Plan (23 U.S.C. 332(c) and (d)), the requirement for FHWA to fund all satisfactory applications (23 U.S.C. 332(e)(1)), and the requirement for FHWA to base the amount of all awards on the number of PFPs that the applicant has implemented or plans to implement (23 U.S.C. 332(e)(2)(A)). Due to the unique nature of the Roadside Pollinator Program, FHWA is requiring applicants to use an Application Template.The Roadside Pollinator Program may fund the implementation of pollinator-friendly practices (PFPs) included in a Plan or the improvement or further development of a Plan (23 U.S.C. 332(f)). The total activities to be funded by an applicant with a Roadside Pollinator Program award are referred to as the â€œRoadside Pollinator Projectâ€ throughout this NOFO.</t>
  </si>
  <si>
    <t>Cell and Gene Therapies for HIV Cure: Developing a Pipeline (P01 Clinical Trial Not Allowed)</t>
  </si>
  <si>
    <t>Public housing authorities/Indian housing authorities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
Non-domestic (non-U.S.) components of U.S. Organizations are eligible to apply.
Foreign components, as defined in the NIH Grants Policy Statement, are allowed.</t>
  </si>
  <si>
    <t>The purpose of this Notice of Funding Opportunity (NOFO) is to support multi-project research programs for the development, characterization, and advancement of gene- and cell-based approaches to achieve long-term remission or elimination of HIV. Approaches will eventually be evaluated in the clinic, rendered scalable and deliverable. Applications are expected to include basic science discovery as well as preclinical research activities such as test-of-concept studies in animal models. Applicants are required to include one or more private sector partner to participate in their program.</t>
  </si>
  <si>
    <t>USAID Kitumaini</t>
  </si>
  <si>
    <t>USAID-DEM</t>
  </si>
  <si>
    <t>Democratic Republic of the Congo USAID-Kinshasa</t>
  </si>
  <si>
    <t>USAID/DRCâ€™s vision for Kitumaini is a five-year long activity that will focus on service deliveryresults in five (5) health zones in Haut-Katanga, with possible expansion to other provinces asguided by Office of the Global AIDS Coordinator (OGAC)/PEPFAR. This activity also intends tostrengthen the capacity of local sub-recipients to enhance their capabilities to receive assistanceawards from USAID through transition award(s). This service delivery and capacity buildingactivity will include all aspects of HIV epidemic control. Activities will take place in health zonesassigned to USAID/DRC. This service delivery activity will prioritize services that focus on prioritypopulations, orphans and vulnerable children (OVC) and key populations (KP). The recipient willcoordinate with other implementing partners to facilitate the transition of the existing KPprogram, Meeting Targets and Maintaining Epidemic Control (EpiC) to Kitumaini.</t>
  </si>
  <si>
    <t>Commercial Supersonic Technology (CST) Project</t>
  </si>
  <si>
    <t>NASA-HQ</t>
  </si>
  <si>
    <t>NASA Headquarters</t>
  </si>
  <si>
    <t xml:space="preserve">Amendment 3 to the NASA ARMD Research Opportunities in Aeronautics (ROA) 2024 NRA has been posted on the NSPIRES web site. Commercial Supersonic Technology seeks proposals for a fuel injector design concept and fabrication for testing at NASA Glenn Research Center. The proposal for the fuel injector design aims to establish current state-of-the-art in low NOx supersonic cruise while meeting reasonable landing take-off NOx emissions. The technology application timeline is targeted for a supersonic aircraft with entry into service in the 2035+ timeframe. These efforts are in alignment with activities in the NASA Aeronautics Research Mission Directorate as outlined in the NASA Aeronautics Strategic Implementation Plan, specifically Strategic Thrust 2: Innovation in Commercial High-Speed Aircraft. Notices of Intent (NOIs) are not required for this solicitation. Proposals are due May 31, 2024. </t>
  </si>
  <si>
    <t>MUREP INCLUDES</t>
  </si>
  <si>
    <t>Others (see text field entitled "Additional Information on Eligibility" for clarification) All proposals shall originate from an institution designated and listed by the U.S. Department of Education (DOE) as a Minority-Serving Institution (MSI) on the proposal due date.</t>
  </si>
  <si>
    <t xml:space="preserve">MUREP INCLUDES coalitions endeavor to apply numerous approaches to expand the awareness and involvement of URMs in engineering with a focus on cultural competence. MUREP INCLUDES implements activities explicitly to heighten students' engineering skills; develops a pool of engineers in fields relevant to NASA; supports the design and deployment of new engineering courses and/or degree programs; infuses NASA content into engineering curriculum; provides authentic and diverse research experiences for students; enables educators to present engineering concepts and activities to students effectively; empower students into transitioning into engineering degrees through bridging programs, and capstone projects; and disseminates MSI-led coalitions successes through conference papers/journal/publication. Finally, the various coalition projects seek to provide improved access for URMs in engineering fields, establish inclusive environments, deliver culturally diverse activities, and offer novel approaches to retain URMs in engineering degree pathways. </t>
  </si>
  <si>
    <t>Information and Planning: Understanding the Capacity of the Aging Network</t>
  </si>
  <si>
    <t>Others (see text field entitled "Additional Information on Eligibility" for clarification) Domestic public or private non-profit entities including state and local governments, Indian tribal governments and organizations (American Indian/Alaskan Native/Native American), faith-based organizations, community-based organizations, hospitals, and institutions of higher education. Foreign entities are not eligible to compete for, or receive, awards made under this announcement. Faith-based and community organizations that meet the eligibility requirements are eligible to receive awards under this funding opportunity announcement.</t>
  </si>
  <si>
    <t>The Administration for Community Living (ACL) intends to award one cooperative agreement designed to better understand and address the needs of the Aging Network by documenting and reporting on Area Agencies on Aging (AAAs), Tribal Organizations, and other organizations activities and expertise in health and the delivery of community-based services and supports.The Aging Network reaches into every community in the nation, playing a vital role in strategic planning, program development and administration, and service delivery. To ensure that older Americans have access to high quality aging services, the Aging Network must constantly review its programs and explore ways to innovate and enhance program design and delivery. There is an ongoing need to understand and document the activities that are undertaken in the Aging Network as its members grow and advance to accommodate the ever-evolving needs of the communities they serve. This funding announcement seeks to broaden the knowledge base of the Aging Network around ACL priorities, such as caregiving, housing, diversity, equity, and inclusion, as well as other critical issues. The primary goal is to increase ACL and the Aging Networkâ€™s understanding of how AAAs, Tribal Organizations, and other agencies as appropriate, are adapting, enhancing, and expanding services and supports to meet current and future needs of older adults and their caregivers.</t>
  </si>
  <si>
    <t>Developing a Missouri River Sediment Transport Capacity Function</t>
  </si>
  <si>
    <t xml:space="preserve">Others (see text field entitled "Additional Information on Eligibility" for clarification) This opportunity is restricted to non-federal partners of the Great Rivers Cooperative Ecosystems Studies Unit (CESU)._x000D_
_x000D_
Disclosures of current and pending support made in this application may render an applicant ineligible for funding. Prior to award and throughout the period of performance, ERDC may continue to request updated continuing and pending support information, which will be reviewed and may result in discontinuation of funding. _x000D_
_x000D_
Religious organizations are entitled to compete on equal footing with secular organizations for Federal financial assistance as described in E.O. 13798,  Promoting Free Speech and Religious Liberty. </t>
  </si>
  <si>
    <t xml:space="preserve">The specific research question to be addressed by this agreement is â€œHow do bed material loads, hydraulic roughness, and bedform regimes change based on hydraulic parameters, such as temperature, shear stress, stream power, slope, water velocity, etc.â€ To answer this complex research question, a bed material load sediment transport capacity function will be derived using the best available data, including USGS suspended sediment concentration/load and the Missouri River 2014 sediment data collection effort. A bedform/roughness predictor algorithm will also be developed for the Missouri River. The effectiveness of these algorithms at predicting observed data must be demonstrated in a journal article to be coauthored by USACE. The methodology and results must also be discussed in the journal article.  Two in-person meetings will be held (kickoff and final presentation) between USACE and the award recipient, as well as monthly virtual meetings. </t>
  </si>
  <si>
    <t>Request for Information on Electrified Airplane Integration Retrofit Powertrains Learnings And Novel Electric Port   Operations Related Technologies (E-AIRPLANE/PORT)</t>
  </si>
  <si>
    <t>DOE-ARPAE</t>
  </si>
  <si>
    <t xml:space="preserve">Advanced Research Projects Agency Energy </t>
  </si>
  <si>
    <t>Unrestricted (i.e., open to any type of entity above), subject to any clarification in text field entitled "Additional Information on Eligibility" This is a Request for Information (RFI) only. This RFI is not seeking applications for financial assistance. THIS NOTICE DOES NOT CONSTITTUE A FUNDING OPPORTUNITY ANNOUNCEMENT (FOA). NO FOA EXISTS AT THIS TIME.</t>
  </si>
  <si>
    <t>This is a Request for Information (RFI) only. This RFI is not accepting applications for financial assistance. The purpose of this RFI is solely to solicit input for ARPA-E consideration to inform the possible formulation of future programs. The purpose of this Request for Information (RFI) is to solicit input for a potential ARPA-E program focused on the feasibility and impact of retrofitting an existing aircraft with electric powertrains developed under ARPA-Eâ€™s Aviation-class Synergistically Cooled Electric-motors with iNtegrated Drives (ASCEND) program for a full integration with the aircraft and to show full functionality of the electric powertrain. ARPA-E is interested in groundbreaking technologies needed for a full integration of an electric powertrain into the aircraft main electrical and propulsion systems, as well as opportunities in airport electrification. This RFI aims to identify potential participants and gather insights to inform the development of a future funding opportunity focused on this transformative technology. To view the RFI in its entirety, please visit https://arpa-e-foa.energy.gov.</t>
  </si>
  <si>
    <t>Single Source for the Continuation of the Data Management and Coordinating Center (DMCC) for Rare Diseases Clinical Research Network (RDCRN) (U2C Clinical Trial Not Allowed)</t>
  </si>
  <si>
    <t>Public and State controlled institutions of higher education Other Eligible Applicants include the following:
Non-domestic (non-U.S.) Entities (Foreign Organization) are not eligible to apply.
Non-domestic (non-U.S.) components of U.S. Organizations are not eligible to apply.
Foreign components, as defined in the NIH Grants Policy Statement, are allowed.</t>
  </si>
  <si>
    <t>This is a non-competitive funding opportunity intended to fund a single award. NCATS is announcing its intent to issue a single source cooperative agreement to Cincinnati Childrens Hospital Medical Center (CCHMC) to support the Data Management and Coordinating Center. The Rare Diseases Clinical Research Network (RDCRN) is intended to advance and improve diagnosis, management, and treatment of numerous, diverse rare diseases through highly collaborative, multi-site, patient-centric, translational, and clinical research with an emphasis on early and timely identification of individuals with rare diseases and clinical trial readiness. The DMCC facilitates and supports the activities of each individual Rare Diseases Clinical Research Consortium (RDCRC) along with trans-network activities that broadly facilitate the advancement of rare disease research via four avenues: administrative support, data management support, clinical research support and patient engagement, and broad dissemination of information. The RDCRCs will continue conducting research conducted under a separate NOFO.</t>
  </si>
  <si>
    <t>Drug Demand Reduction Workforce Credentialing</t>
  </si>
  <si>
    <t>Others (see text field entitled "Additional Information on Eligibility" for clarification) The following organizations are eligible to apply: 	U.S.-based non-profit/non-governmental organizations (NGOs); 	U.S.-based educational institutions subject to section 501(c)(3) of the U.S. tax code or section 26 US 115 of the US 115 of the U.S. tax code; 	Foreign-based non-profits/non-governmental organizations (NGOs); 	Foreign-based educational institutions</t>
  </si>
  <si>
    <t>A project to encourage the development and dissemination of a global credential and related credentialing or certification program based on international standards for substance use professionals.</t>
  </si>
  <si>
    <t>F25AS00007 Multistate Conservation Grant Program Announcement</t>
  </si>
  <si>
    <t>Others (see text field entitled "Additional Information on Eligibility" for clarification) Eligible applicants also include the United States Fish and Wildlife Service, or a State or group of States, for the purpose of carrying out the National Survey of Fishing, Hunting, and Wildlife-Associated Recreation. The State governments designation refers to agencies with lead management responsibility for fish and wildlife resources in each of the 50 States, the District of Columbia (Sport Fish Restoration only), Commonwealths of Puerto Rico and the Northern Mariana Islands, and the territories of American Samoa, Guam, and the U.S. Virgin Islands, or a group of these agencies.</t>
  </si>
  <si>
    <t>Multistate Conservation Grants are authorized under 16 U.S.C. 669h-2 and 16 U.S.C. 777m, providing funding for wildlife restoration and sport fish restoration projects and recruitment, retention and reactivation (R3) projects that address regional or national priority needs of State fish and wildlife agencies and their partners that are beyond the scale, scope, and capabilities of a single State. The priority needs, also known as Strategic Priorities, are identified annually by the Association of Fish and Wildlife Agencies (AFWA) with input from State fish and wildlife agencies and their partners. Recipients awarded Traditional Multistate Conservation Grants (T-MSCG) may use the funds for wildlife or sport fish projects involving research, restoration, conservation and management of wild birds, wild mammals, sport fish, and their habitats. These funds may also be used for projects providing for public use and benefit from these resources, including hunter safety and education, aquatic education, angler R3 projects and other purposes consistent with the enabling legislation. Recipients awarded under R3 Multistate Conservation Grants (R3-MSCG) can only use the funds for hunter recruitment and recreational shooter recruitment projects that promote a national hunting and shooting sport recruitment program, including related communication and outreach activities.</t>
  </si>
  <si>
    <t>U.S. Embassy Cotonou PDS Request for Statements of Interest: Notice of Funding Opportunity</t>
  </si>
  <si>
    <t>Others (see text field entitled "Additional Information on Eligibility" for clarification) The Public Diplomacy Section encourages applications from U.S. and Beninese:_x000D_
_x000D_
  Registered not-for-profit organizations, including think tanks and civil society/non-governmental organizations with programming experience;_x000D_
  Individuals;_x000D_
  Non-profit or governmental educational institutions;_x000D_
  Governmental institutions.</t>
  </si>
  <si>
    <t xml:space="preserve">The U.S. Embassy is unable to provide individual feedback on non-selected Statements of Interest. A public presentation with general feedback will be offered. The date and time will be announced on the Embassy Facebook.  
A. PROGRAM DECRIPTION 
 The U.S. Embassy Cotonou Public Diplomacy Section (PDS) of the U.S. Department of State announces a Request for Statements of Interest (RSOI) from organizations interested in applying for funding for program proposals that strengthen ties between the peoples of the United States and Benin through cultural and exchange programming that highlights shared values and promotes bilateral cooperation.  PDS invites organizations interested in potential funding to submit SOI applications outlining program concepts that reflect this goal. Please carefully follow all instructions below. 
The submission of a SOI is the first step in a two-part process. Applicants must first submit a SOI, which is a concise, one-to-two-page concept note (in English) designed to clearly communicate a program idea and its objectives before the development of a full proposal application. The purpose of the SOI process is to allow applicants the opportunity to submit program ideas for PDS to evaluate prior to requiring the development of full proposal applications. Upon review of eligible SOIs, PDS will invite selected applicants to expand their ideas into full proposal applications. 
Purpose: PDS Cotonou invites SOIs for programs that strengthen ties between the people of the United States and the people of Benin through cultural and exchange programming that highlights shared values and promotes bilateral cooperation. All programs must include an American cultural element, or a connection with American expert/s, organization/s, or institution/s in a specific field that will promote increased understanding of U.S. policy and perspectives.  
Examples of PDS-funded programs include, but are not limited to: 
Â· Academic and professional lectures, seminars, and speaker programs; 
Â· Artistic and cultural workshops, joint performances, and exhibitions; 
Â· Cultural heritage conservation and preservation programs; 
Â· Professional and academic exchanges and programs; 
Â· Experiential learning activities (e.g. Model UN, Model Government).  
Priority Program Objectives and Audiences  
Project proposals submitted through this Annual Program Statement (APS) should address one of the following Priority Program Objectives:  
Vulnerable Groups Empowerment: Activities that address poverty and vulnerability in the communities and contribute to build resilience and social cohesion or/and promote the rights of members of marginalized groups including women and girls, religious and ethnic minority groups and other community at risk (e.g. Capacity building on countering Violent Extremist Organizations VEOsâ€™ disinformation and recruitment). Target audiences include: youth and young adults active in their communities, religious leaders, community members in the North. (One to two awards anticipated, maximum $10,000 each).  
Investigative Journalism: Activities that link Beninese journalists to American journalists or media institutions, and/or empower community radios with best practices to handle an adversarial debate, and/or develop tools and skills to combat myths and disinformation and to verify information before sharing with the public in order to strengthen free press and journalism as an institution in Benin. Target audience: community radios, mid-career journalists. (One to two awards anticipated, maximum $15,000 each).  
U.S.-Benin Partnership: Activities featuring popular American and/or Beninese artists, musicians, cultural figures, and other influencers in order to promote a deeper understanding of the United Statesâ€™ long support for improving trade and prosperity in Benin, as well as habits that lead to healthier and more prosperous lives (e.g. promoting U.S.-Benin trade with linkage to AGOA). Target audiences include: women entrepreneurs who specialize in handicrafts, youth and young adults who use social media or listen to radio as their primary source of information; and/or educated urban adults unaware of U.S. initiatives to support Beninâ€™s development. (One to two awards anticipated, maximum $25,000 each).  
Skills for Success: Activities to promote STEM, learning American English, especially through soft skills (such as resume writing, digital communications, basic financial literacy, public speaking, entrepreneurial skills) and digital literacy, drawing on American and Beninese examples, in order to encourage successful participation in the global economy. Applicants are strongly encouraged to partner with English Clubs, American Spaces, or U.S. exchange program alumni to conduct these activities. Target audiences include: underemployed and unemployed youth who will soon complete or have completed formal education; female microentrepreneurs; and/or graduate/undergraduate students in Science, Technology, Engineering, or Math with a strong interest in improving their English or pursuing graduate study in the United States. (One to three awards anticipated, $15,000 each).  
The following types of programs are not eligible for funding: 
Â· Programs relating to partisan political activity; 
Â· For-profit programs 
Â· Charitable or development activities; 
Â· Construction programs; 
Â· Programs that support specific religious activities; 
Â· Fund-raising campaigns; 
Â· Lobbying for specific legislation or programs; 
Â· Scientific research; 
Â· Programs intended primarily for the growth or institutional development of the organization; or 
Â· Programs that duplicate existing programs.  
Authorizing legislation, type and year of funding: 
The Statutory Authority for this program is the Smith-Mundt Act or the Fulbright-Hays Act. The source of funding is FY2024 Public Diplomacy or Bureau of Educational and Cultural Affairs funds, dependent on the type of program.  
B. FEDERAL AWARD INFORMATION  
Length of performance period: 6 to 12 months 
Number of awards anticipated: varies (dependent on amounts) 
Award amounts: awards may range from a minimum of $5,000 to a maximum of $25,000 
Total available funding: $145,000 (Anticipated and Subject to Availability of Funds) 
Type of Funding: Fiscal Year 2024 Public Diplomacy Funding and/or Bureau of Educational and Cultural Affairs Funding 
Anticipated program start date:  
Funding Instrument Type: Grant, Fixed Amount Award, Individual Award, or Cooperative Agreement. Cooperative agreements and some FAAs are different from grants in that PDS staff are more actively involved in the grant implementation (â€œSubstantial Involvementâ€).  
Program Performance Period: Proposed programs should be completed in 12 months or less. PDS may entertain applications for continuation grants funded under these awards beyond the initial budget period on a non-competitive basis subject to availability of funds, satisfactory progress of the program, and a determination that continued funding would be in the best interest of the U.S. Department of State.  This notice is subject to availability of funds. 
 C. ELIGILIBITY INFORMATION  
Other Eligibility Requirements  
Applicants are only allowed to submit one proposal per organization. If more than one proposal is submitted from an organization, all proposals from that institution will be considered ineligible for funding. To be eligible to receive an award, all organizations must have a Unique Entity Identifier (UEI) issued via www.SAM.gov as well as a valid and active registration in the System for Award Management (SAM) www.SAM.gov. Individuals are not required to have a UEI or be registered in SAM.gov.  
 D. APPLICATION AND SUBMISSION INFORMATION  
The U.S. Embassy Cotonou Public Diplomacy Section will accept proposals through May 30, 2024. A grants committee including U.S. Embassy employees will review eligible applications in June 2024. All application materials must be submitted by email to CotonouPASGrants@state.gov  
All Statements of Interest SOI applications should ensure that the following requirements are met: 
Please follow all instructions below carefully. SOIs that do not meet the requirements of this announcement or fail to comply with the stated requirements will be ineligible. 
Content of Application 
Please ensure: 
. The SOI clearly addresses the goals and objectives of this funding opportunity 
. All documents are in English 
Â· All budgets are in U.S. dollars 
Â· All pages are numbered 
Â· All documents are formatted to 8 Â½ x 11 paper, and 
. All Microsoft Word documents are single-spaced, 12 point Calibri font, with a minimum of 1-inch margins. 
The following document is required: 
 Program Statement (not to exceed 2 pages in Microsoft Word) that includes: 
 A table listing: 
 Name of the organization; 
 The target country/countries; 
 The total amount of funding requested from PD Cotonou, total amount of cost-share (if any), and total program amount (PD funds + cost-share); and, 
 Program length; 
 A synopsis of the program, including a brief statement on how the program will have a demonstrated impact and engage relevant stakeholders, as well as the American element;  
 A concise breakdown explicitly identifying the programâ€™s objectives and the activities and expected results that contribute to each objective; and, 
 A brief description of the applicant(s) that demonstrates the applicant(s) expertise and capacity to implement the program and manage a U.S. government award. 
 The deadline for submission of SOIs is May 30, 2024. An organization may submit no more than one SOI.  
 E. APPLICATION REVIEW CRITERIA 
1. Quality of Program Idea: Short narrative that outlines the proposed program, including program objectives and anticipated impact. The SOI should explain why the proposed program is needed. 
2. Program Planning: A description of how the program is expected to work to solve the stated problem and achieve the objectives. A proposed timeline for the program activities should include the dates, times, and locations of planned activities and events. 
3. Ability to Achieve Objectives/Institutional Capacity: A demonstration of the organizationâ€™s or individualâ€™s expertise and previous experience in administering programs. 
4. Diversity, Equity, Inclusion, and Accessibility: Clearly stated objectives for recruiting and fully including participants from historically underserved communities in program activities, and/or including perspectives from historically underserved communities in the United States. 
A Grants Review Committee will evaluate all eligible applications. SOI applicants will be notified of the decision to present a full submission within 30 days of each submission deadline. Instructions on the requirements of a full application submission will be provided at that time. </t>
  </si>
  <si>
    <t>Advancing Diagnostic Network Optimization, Stepwise Laboratory Accreditation, and Integrated One Health Specimen Transport in Liberia</t>
  </si>
  <si>
    <t>This NOFO aims to innovate, implement, and evaluate approaches to One Health laboratory diagnostic network optimization and specimen transport in Liberia. This multi-component NOFO is designed to address the inter-dependence of a comprehensive, resource-mapped, accredited national and sub-national laboratory network, the physical transportation architecture required to transfer network commodities (namely human, animal, and environmental specimens) point-to-point, and the optimization of digital communication, information, and supply chain systems necessary to sustain the network itself.</t>
  </si>
  <si>
    <t>State-Tribal Partnerships to Implement Best Practices in Indian Child Welfare</t>
  </si>
  <si>
    <t>Special district governments Children's Bureau will accept applications that represent partnerships among organizations with relevant experience. Organizations specializing in assigned tasks may be selected as subrecipients (either through contract or subaward) by the primary applicant.  Applications from collaborations must identify a primary applicant responsible for administering the grant.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</si>
  <si>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**A modification to this NOFO was made on April 4, 2024. There are no content changes to application or program requirements. The funding opportunity number was changed from HHS-2024-ACF-ACYF-CW-0056 to HHS-2024-ACF-ACYF-CT-0056. There were changes made in Section I, Statutory Authority; and Section II, Expected Number of Awards and Estimated Total Funding. In Section III, Eligibility was changed to exclude for-profit organizations and small businesses.    American Indian and Alaska Native (AI/AN) children are nearly 3 times more likely to enter foster care, compared to non-Native children.  These four year grants are intended to generate evidence for how best to effectively implement child welfare practices and ongoing active efforts to maintain AI/AN families by funding state and tribal partnerships to jointly design and operate Indian child welfare best practice implementation demonstration sites. The evidence generated and lessons learned through this effort are intended to contribute to implementation efforts nationally to help maintain and preserve AI/AN families and allow their children to remain connected to their communities and cultures. The purpose of this notice of funding opportunity is to create and implement intergovernmental partnership models to improve implementation of child welfare best practices that are culturally appropriate for federally recognized AI/AN children to prevent maltreatment, removal from families and communities, and improve safety, permanency, and well-being. Recipients will serve as demonstration sites to design and implement projects to effectively implement culturally appropriate best practices in Indian child welfare, including measuring improvements in child welfare practice, Indian child welfare codes, legal and judicial processes, case monitoring, case planning, data collection, in-home family preservation services, infrastructure, and systems change. Partnerships must include the state Court Improvement Program, the state child welfare agency, and one or more tribal governments or tribal consortia including corresponding tribal court(s). The "Tribal government" partner(s) may be tribal child welfare agencies where appropriate under tribal law or custom.Effective culturally appropriate best practices for implementation require a high degree of collaboration between state and tribal courts and Indian child welfare agencies.  Thus, both states and tribes must identify, build, and enhance necessary capacities.  State/tribal collaborations will work together to craft solutions for longstanding challenges to providing effective best practices in Indian child welfare in ways that work best for their communities. This funding opportunity is intended to encourage state and tribal governments to work together to find creative, rational ways to meet the needs of AI/AN families with culturally appropriate best practices in Indian child welfare, with active efforts to retain or reunite Indian children with family as the â€œgold standardâ€ for best Indian child welfare practice.  The award also provides an important opportunity for states and tribes to build or strengthen relationships of trust by working together toward common family preservation goals.   As part of the project, recipients may also consider the role of civil legal services in implementation efforts. Assessment of the success and/or need for legal representation to parties in Indian child welfare cases may be included in project work, as may provision of direct civil legal services, to the extent that such legal services are an identified part of a pilot or practice model to be tested.For purposes of this funding opportunity, "Tribal courts" are defined consistent with the Bureau of Indian Affairs regulations as "a court with jurisdiction over child custody proceedings and which is either a Court of Indian Offenses, a court established and operated under the code or custom of an Indian tribe, or any other administrative body of a tribe which is vested with authority over child custody proceedings.</t>
  </si>
  <si>
    <t>Development and Deployment of Innovative Technologies for Concrete Pavements</t>
  </si>
  <si>
    <t>Others (see text field entitled "Additional Information on Eligibility" for clarification) This funding opportunity is open to all sources.</t>
  </si>
  <si>
    <t>Funding Opportunity Title: â€œDevelopment and Deployment of Innovative Technologies for Concrete Pavementsâ€Announcement Type: This is the initial announcement of this funding opportunity.Funding Opportunity Number: 693JJ324NF00013Total Amount Available: This NOFO will result in the distribution of up to $5 million. The actual amount available to be awarded under this notice will besubject to the availability of funds. This NOFO will result in the award of one cost reimbursement cooperative agreement withcost-sharing. Award Type: Cooperative AgreementAssistance Listing Number: 20.200, Highway Research   Development Questions: Submit Questions by 3:00pm ET on 4/17/2024 to: and Hector.Santamaria@dot.gov Application Due Date: Applications Due by 3:00pm ET on 5/20/2024 via Grants.gov (see Section D). The Federal Highway Administrationâ€™s (FHWA) Accelerated Implementation and Deployment of Pavement Technologies (AIDPT) Program was established more than a decade ago under the Moving Ahead for Progress in 21st Century Act (Pub. L. 112-141). Since that time, the program has continued under Fixing Americaâ€™s Surface Transportation Act (Pub. L. 114-94) and the Bipartisan Infrastructure Law (Pub. L. 117-58). The program encourages highway agencies to adopt and implement new technologies proven to save money, enhance safety, improve performance and quality, increase efficiency, reduce delay, and enhance road user satisfaction.The purpose of this funding opportunity and planned cooperative agreement (Agreement) is to stimulate, facilitate, and expedite the deployment and rapid adoption of new and innovative technologies relating to the design, specification, production, testing, control, construction, investigation, operation, and impacts of concrete pavements. The Agreement will support public agencies by helping to increase the knowledge related to concrete pavements and concrete materials. The proposed project is a cooperative effort between the FHWA and the Recipient to improve the quality and performance of concrete pavements. Products will include, but not be limited to, implementation plans, market analyses, training tools, case studies, reports and analyses, and supporting stakeholder engagement via conference presentations, webinars, workshops, peer exchanges, videos, and technical assistance to public agencies. To accomplish and deliver these products, it is anticipated the Recipient will leverage engaging subject matter experts and make products available and accessible to a wide-ranging audience. This effort will leverage the unique technology capabilities and facilities of the Recipient with FHWAâ€™s mission.The goals of this funding opportunity and planned Agreement are to promote the deployment and rapid adoption of new and innovative materials, design and construction procedures, specifications, practices, and methods by which the concrete pavement can realize improved pavement performance and extended pavement life while integrating sustainability.</t>
  </si>
  <si>
    <t>Early Stage Innovations</t>
  </si>
  <si>
    <t>Others (see text field entitled "Additional Information on Eligibility" for clarification) See the full solicitation for eligibility requirements</t>
  </si>
  <si>
    <t xml:space="preserve">The National Aeronautics and Space Administration (NASA) Headquarters has released a solicitation, titled Early Stage Innovations (ESI), as an appendix to the Space Technology Mission Directorate (STMD) umbrella NASA Research Announcement (NRA) titled "Space Technology Research, Development, Demonstration, and Infusion 2024 (SpaceTech REDDI 2024),â€ on April 4, 2024. The ESI solicitation is available by opening the NSPIRES homepage at https://nspires.nasaprs.com/, selecting â€œOpenâ€ under "Solicitations," and searching "Early Stage Innovations (ESI24)" under Keywords. The Space Technology Research Grants (STRG) Program within STMD seeks proposals from accredited U.S. universities to develop unique, disruptive, or transformational space technologies that have the potential to lead to dramatic improvements at the system level â€” performance, weight, cost, reliability, operational simplicity, or other figures of merit associated with spaceflight hardware or missions. The projected impact at the system level must be substantial and clearly identified. Only accredited U.S. universities are eligible to submit proposals. Teaming is permitted â€“ see solicitation for complete eligibility requirements as well as teaming restrictions. A Principal Investigator (see solicitation for restrictions) or Co-Investigator may participate in no more than two proposals in response to this solicitation. NASA encourages submission of ESI proposals on behalf of tenure-track or tenured faculty members at all U.S. universities and especially encourages proposals submitted on behalf of and/or that include as team members women, members of underrepresented minority groups, and persons with disabilities. The solicitation exclusively seeks proposals that are responsive to one of the following two topics: Topic 1 â€“ Computational Materials Engineering for Lunar Metals Welding Topic 2 â€“ Passive Lunar Dust Control through Advanced Materials and Surface Engineering NASA anticipates addressing other topics in future ESI Appendix releases. The financial and programmatic support for ESI comes from the Space Technology Research Grants Program within the Space Technology Mission Directorate. Awards are planned to start in January 2025. NASA plans to make approximately 6 awards as a result of this ESI solicitation, subject to the receipt of meritorious proposals. The actual number of awards will depend on the quality of the proposals received; NASA reserves the right to make no awards under this solicitation. STMD is strongly committed to ensuring that proposal review is performed in an equitable and fair manner that reduces the impacts of any unconscious biases. To this end, this Appendix will employ a Dual-Anonymous Peer Review (DAPR) process to evaluate proposals. Using DAPR, not only are proposers not told the identities of the reviewers, but the identities of the proposers (personnel and organization names) will not be shared with the reviewers until after the technical review of all anonymized proposals has been completed. All proposals must be submitted electronically through NSPIRES by an authorized organizational representative. Notices of Intent (strongly encouraged) are due by May 9, 2024, with proposals due on or before June 6, 2024, 5 pm Eastern. Detailed submission instructions and due dates are provided in the solicitation. Potential proposers and their proposing organizations are urged to familiarize themselves with the submission system, ensure they are registered in NSPIRES, and submit the required proposal materials well in advance of the deadline. All technical and programmatic comments and questions may be addressed by email to the Space Technology Research Grants Program Executive, at hq-esi-call@mail.nasa.gov. Responses to inquiries will be answered by email and may also be included in the Frequently Asked Questions (FAQ) documents located on the NSPIRES page associated with the solicitation; anonymity of persons/institutions who submit questions will be preserved. </t>
  </si>
  <si>
    <t>Rural Cooperative Development Grant</t>
  </si>
  <si>
    <t>USDA-RBCS</t>
  </si>
  <si>
    <t xml:space="preserve">Rural Business-Cooperative Service </t>
  </si>
  <si>
    <t>The primary objective of the RCDG program is to improve the economic condition of rural areas by assisting individuals or entities in the startup, expansion or operational improvement of rural cooperatives and other business entities. Grants are awarded competitively on an annual basis to Rural Cooperative Development Centers who in turn provide technical assistance to individuals and entities.</t>
  </si>
  <si>
    <t>Partner Promotion of Strategies to Advance Oral Health</t>
  </si>
  <si>
    <t>Unrestricted (i.e., open to any type of entity above), subject to any clarification in text field entitled "Additional Information on Eligibility" Ministries of Health are not eligible.</t>
  </si>
  <si>
    <t>Partner Promotion of Strategies to Advance Oral Health is a three-year competitive announcement that continues the Centers for Disease Control and Preventionâ€™s (CDC) investment in supporting oral health programs. This Funding Opportunity Announcement aims to support recipients of CDC-RFA-DP-24-0048 (State Promotion of Strategies to Advance Oral Health) to prevent and control oral diseases and related conditions among priority populations. Applicants may apply for Component 1, Component 2, or Component 3 separately. For all Components, the funded recipient(s) will work closely with staff from CDCâ€™s Division of Oral Health and all awardees of CDC-RFA-DP-24-0048. Under Component, the recipient will provide awardees TA and resources to expand CWF and EBPDS activities among populations of focus. Under Component 2, the recipient will support IPC partnerships and activities among populations of focus. Under Component 3, the recipient will analyze secondary data to inform the future integration of medical and dental services for individuals with diabetes; analyze EBPDS data to understand access and use among populations of focus; and evaluate CWF, EBPDS, and IPC activities and partnerships of CDC-RFA-DP-24-0048 recipients. The proposed program will follow and build upon the Notice of Funding Opportunity for DP18-1811 [FY2018-FY2023].</t>
  </si>
  <si>
    <t>Alumni Outreach Program FY 2024</t>
  </si>
  <si>
    <t>DOS-MKD</t>
  </si>
  <si>
    <t>U.S. Mission to North Macedonia</t>
  </si>
  <si>
    <t>Others (see text field entitled "Additional Information on Eligibility" for clarification) Not-for-profit organizations, including think tanks and civil society/non-governmental organizations from North Macedonia only.  Project teams must include at least two (2) alumni of a U.S. government program.  Alumni who are U.S. citizens may participate as team members in a project.  Alumni teams may be comprised of alumni from different exchange programs.</t>
  </si>
  <si>
    <t>The Public Affairs Section (PAS) administers an Alumni Outreach Program which aims to expand outreach to alumni of U.S. government-funded exchange programs. Projects must be initiated by alumni of U.S. government exchange programs. The program will provide small grants to alumni associations to support visionary initiatives with measurable goals, including those of value to local communities. Projects that encourage activism in areas such as community service and development, promoting democratic advancement across the political spectrum, and economic reform are examples of priority initiatives. These grants serve as one-time opportunities to support alumni in their efforts to launch projects that build on their participation in exchange programs. Projects should be designed to be sustainable after the performance period is over.</t>
  </si>
  <si>
    <t>Education USA Advising Services</t>
  </si>
  <si>
    <t>DOS-EUR</t>
  </si>
  <si>
    <t>Bureau of European and Eurasian Affairs</t>
  </si>
  <si>
    <t>Nonprofits having a 501(c)(3) status with the IRS, other than institutions of higher education For-profit organizations and individual applicants are not eligible to apply.Applicants are only allowed to submit one proposal per organization. If more than one proposal is submitted from an organization, all proposals from that institution will be considered ineligible for funding.In order to be eligible to receive an award, all organizations must have a Unique Entity Identifier (UEI) number issued via www.SAM.gov as well as a valid registration on www.SAM.gov.</t>
  </si>
  <si>
    <t>The U.S. Mission in TÃ¼rkiye's Public Diplomacy (PD) Section, within the U.S. Department of State, is pleased to announce this NOFO for a cooperative agreement to administer FY2024 -2026 EducationUSA advising services throughout Istanbul, Izmir, and the greater Marmara and Aegean regions. TÃ¼rkiye is the nineteenth largest source country of international students in the United States with approximately 9,000 students pursuing higher education at U.S. institutions. The goal of this cooperative agreement is to increase student mobility between the United States and TÃ¼rkiye through the following activities: providing information to Turkish audiences about how to study in the United States; providing relevant information to universities in TÃ¼rkiye interested in establishing relationships or partnerships with U.S. universities; and assisting the U.S. Mission in providing information about the U.S. higher education system to the Government of TÃ¼rkiye.</t>
  </si>
  <si>
    <t>for Office of Postsecondary Education (OPE): Institutional Service: Augustus F. Hawkins Centers of Excellence (Hawkins) Program, Assistance Listing Number (ALN) 84.428A</t>
  </si>
  <si>
    <t>Private institutions of higher education 1.  Eligible Applicants:  Eligible institutions (as articulated under section 241(1) of the HEA) under the Hawkins Program include--	(i) An IHE that has a qualified teacher preparation program that is 	(A) A part B institution (as defined in section 322 of the HEA);	(B) A Hispanic-serving institution (as defined in section 502 of the HEA);	(C) A Tribal College or University (as defined in section 316 of the HEA);	(D) An Alaska Native-serving institution (as defined in section 317(b) of the HEA);	(E) A Native Hawaiian-serving institution (as defined in section 317(b) of the HEA);	(F) A Predominantly Black Institution (as defined in section 318 of the HEA);	(G) An Asian American and Native American Pacific Islander-serving institution (as defined in section 320(b) of the HEA); or	(H) A Native American-serving, nontribal institution (as defined in section 319 of the HEA);	(ii) A consortium of institutions described in paragraph (i); or	(iii) An institution described in paragraph (i), or a consortium described in paragraph (ii), in partnership with any other IHE, but only if the center of excellence established is located at an institution described in paragraph (i). Note:  A consortium of institutions under this competition must follow the procedures under 34 CFR 75.127 75.129 in developing a group application.  This includes developing an agreement that details the activities that each member of the group plans to perform and binds each member of the group to every statement and assurance made by the applicant in the application.  This agreement must be submitted with the application.</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</si>
  <si>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Hawkins Program, authorized under Part B of Title II of the Higher Education Act of 1965, as amended (HEA), is designed to support comprehensive, high-quality State-accredited teacher preparation programs by creating centers of excellence at Historically Black Colleges and Universities (HBCUs); Tribal Colleges or Universities (TCUs); or Minority Serving Institutions (MSIs), such as Hispanic-Serving Institutions (HSIs). The Hawkins Program will help increase the number of, and retain, well-prepared teachers from diverse backgrounds, resulting in a more diverse teacher workforce prepared to teach in our Nationâ€™s most underserved elementary and secondary schools and close student opportunity and achievement gaps. This program focuses on the various aspects of the teacher preparation pipeline, including the recruitment, preparation, support, placement, retention, and retraining of teachers for and in under-resourced schools to support underserved students. Through this program, the Secretary seeks to fund applicants that propose to incorporate evidence-based practices into their teacher preparation program.  
Assistance Listing Number (ALN) 84.428A.</t>
  </si>
  <si>
    <t>ROSES 2024: A.44 Earth Action: Health and Air Quality Applied Sciences Team</t>
  </si>
  <si>
    <t>Others (see text field entitled "Additional Information on Eligibility" for clarification) Proposers must be affiliated with an institution at nspires.nasaprs.com/ and, in general, NASA provides funding only to U.S. institutions. Organizations outside the U.S. that propose on the basis of a policy of no-exchange-of-funds; consult the NASA Proposer s Guide (https://www.nasa.gov/general/grants-policy-and-compliance-team/ - section-2) for specific details. Some NRAs may be issued jointly with a non-U.S. organization, e.g., those concerning guest observing programs for jointly sponsored space science programs, that will contain additional special guidelines for non-U.S. participants. Also reference the Proposer s Guide for special instructions for proposals from non-U.S. organizations that involve U.S. personnel for whom NASA support is requested.</t>
  </si>
  <si>
    <t xml:space="preserve">Please note that this program requests optional Notices of Intent, which are due via NSPIRES by June 4,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</si>
  <si>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Pilot Projects Enhancing Utility and Usage of Common Fund Data Sets (R03 Clinical Trial Not Allowed)</t>
  </si>
  <si>
    <t>Small businesses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</si>
  <si>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Many valuable and widely available data sets have been generated by multiple Common Fund programs. The purpose of this NOFO is to announce the availability of funding to demonstrate and enhance the utility of selected Common Fund data sets, including generating hypotheses and catalyzing discoveries. Award recipients are also asked to provide feedback on the utility of the Common Fund data resources.</t>
  </si>
  <si>
    <t>Concentrating Solar Flux to Heat   Power</t>
  </si>
  <si>
    <t>This FOA solicits proposals for RD&amp;D associated with Scalable Concentrating Solar Collectors, Scalable Supercritical Carbon Dioxide (sCO2) and Scalable Concentrating Solar-thermal Receivers and Reactors. The three technologies will support the government-wide approach to the climate crisis by driving the innovation that can lead to the deployment of clean energy technologies, which are critical for climate protection.</t>
  </si>
  <si>
    <t>Office of Elementary and Secondary Education (OESE): Effective Educator Development Programs: Teacher Quality Partnership (TQP) Grant Program, Assistance Listing Number (ALN) 84.336S</t>
  </si>
  <si>
    <t>Special district governments 1.  Eligible Applicants:  An eligible applicant must be an  eligible partnership  as defined in section 200(6) of the HEA. The term  eligible partnership  means an entity that  	(1)  Must include  	(i)  A high-need LEA; 	(ii)(A)  A high-need school or a consortium of high-need schools served by the high-need LEA; or 	(B)  As applicable, a high-need ECE program; 	(iii)  A partner institution; 	(iv)  A school, department, or program of education within such partner institution, which may include an existing teacher professional development program with proven outcomes within a four-year IHE that provides intensive and sustained collaboration between faculty and LEAs consistent with the requirements of title II of the HEA; and 	(v)  A school or department of arts and sciences within such partner institution; and 	(2)  May include any of the following: 	(i)  The Governor of the State. 	(ii)  The State educational agency (SEA). 	(iii)  The State board of education. 	(iv)  The State agency for higher education. 	(v)  A business. 	(vi)  A public or private nonprofit educational organization. 	(vii)  An educational service agency. 	(viii)  A teacher organization. 	(ix)  A high-performing LEA, or a consortium of such LEAs, that can serve as a resource to the partnership. 	(x)  A charter school. 	(xi)  A school or department within the partner institution that focuses on psychology and human development. 	(xii)  A school or department within the partner institution with comparable expertise in the disciplines of teaching, learning, and child and adolescent development. 	(xiii)  An entity operating a program that provides alternative routes to State certification of teachers. Note:  So that the Department can confirm the eligibility of the LEA(s) that an applicant proposes to serve, applicants must include information in their applications that demonstrates that each LEA to potentially be served by the project is a  high-need LEA  (as defined in this notice).  Applicants should review the application package for additional information on determining whether an LEA meets the definition of  high-need LEA.  Note:  An LEA includes a public charter school that operates as an LEA. Note:  As required by HEA section 203(a)(2), an eligible partnership may not receive more than one grant during a five-year period.  More information on eligible partnerships can be found in the TQP FAQ document on the program website at https://oese.ed.gov/offices/office-of discretionary-grants-support-services/ effective-educator-development programs/teacher-quality-partnership/ applicant-info-and-eligibility/.</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</si>
  <si>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purposes of the TQP program are to improve student achievement; improve the quality of prospective and new teachers by improving the preparation of prospective teachers and enhancing professional development activities for new teachers; hold teacher preparation programs at institutions of higher education (IHEs) accountable for preparing teachers who meet applicable State certification and licensure requirements; and recruit highly qualified individuals, including individuals of color and individuals from other occupations, into the teaching force.  
Assistance Listing Number (ALN) 84.336S.</t>
  </si>
  <si>
    <t>Workforce Opportunity for Rural Communities (WORC) Round 6: A Grant Initiative for the Appalachian, Delta, and Northern Border Regions</t>
  </si>
  <si>
    <t>Special district governments Labor unions, worker organizations, or labor-management partnershipsHispanic-Serving InstitutionsHistorically Black Colleges and Universities (HBCUs)Tribally Controlled Colleges and Universities (TCCUs)Minority-Serving Nonprofits</t>
  </si>
  <si>
    <t>The WORC Initiative aims to fund grants that create economic mobility, address inequities for historically marginalized communities of color, rural areas, and other underserved and underrepresented communities. These grants are designed to produce high-quality employment outcomes for workers in the Appalachian, Delta, and Northern Border regions, enabling them to remain and thrive in their communities. The Initiative provides grant funds to help impacted communities develop local and regional workforce development solutions aligned with existing economic development strategies and community partnerships, promoting new, sustainable job opportunities and long-term economic vitality with a focus on equity and underserved populations. WORC Round 6 places a strong emphasis on three key focus areas: enhancing access to Good Jobs, prioritizing equity, and sustaining impact.  Questions regarding this Funding Opportunity Announcement (FOA) Forecast may be emailed to DOL-ETA-DWG@dol.gov; however, please note there is limited information that may be shared with the public, as this FOA is currently under development.  We encourage prospective applicants and interested parties to use the Grants.gov subscription option to register for future updates provided for this particular FOA.</t>
  </si>
  <si>
    <t>FY 2024 Energizing Insular Communities Program</t>
  </si>
  <si>
    <t>DOI</t>
  </si>
  <si>
    <t>Department of the Interior</t>
  </si>
  <si>
    <t>Others (see text field entitled "Additional Information on Eligibility" for clarification) Eligible applicants are local government entities, utilities, semi-autonomous agencies, and institutions of higher education located in the U.S. territories of Guam, American Samoa, the U.S. Virgin Islands, and the Commonwealth of the Northern Mariana Islands.</t>
  </si>
  <si>
    <t>The Office of Insular Affairs (OIA) is requesting proposals for its Energizing Insular Communities (EIC) Program which provides grant funding for sustainable energy strategies that mitigate climate change, reduce reliance and expenditures on imported fuels, develop and utilize domestic energy sources, and improve the performance of energy infrastructure and overall energy efficiency in the territories.</t>
  </si>
  <si>
    <t>NRCS NJ Community Gardens/Farm Agreement</t>
  </si>
  <si>
    <t>USDA-NRCS</t>
  </si>
  <si>
    <t>Natural Resources Conservation Service</t>
  </si>
  <si>
    <t xml:space="preserve">Notice of Funding Opportunity Summary
The Natural Resources Conservation Service (NRCS), an agency under the United States Department of Agriculture (USDA), is announcing the potential availability of funding for the purpose of leveraging NRCS resources to encourage collaboration with partners in providing strategic conservation delivery assistance and/or provide tools or data that enhance the ability of the agency to support conservation activities. The overall intent of this solicitation is to solicit partnerships to help enhance the implementation of key conservation objectives and priorities outlined in this announcement. Proposals will be accepted from eligible entities for projects located in New Jersey. NRCS anticipates the total amount awarded under this announcement in Federal fiscal year 2024 will be up to $75,000.00
For new users of Grants.gov, see Section D. of the full Notice of Funding Opportunity for information about steps required before submitting an application via Grants.gov.
Key Dates 
Applicants must submit their applications via Grants.gov by 11:59 pm Eastern Time on June 7th, 2024. For technical issues with Grants.gov, contact Grants.gov Applicant Support at 1-800-518-4726 or support@grants.gov. Awarding agency staff cannot support applicants regarding Grants.gov accounts.
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t>
  </si>
  <si>
    <t>FY 24 Runaway and Homeless Youth Prevention Demonstration Program</t>
  </si>
  <si>
    <t>Independent school districts Eligible applicants include public and non-profit private agencies and coordinated networks of such entities. For-profit organizations are not eligible. Private institutions of higher education must be non-profit entities. In selecting eligible applicants to receive grants under this funding announcement, priority will be given to public and non-profit, private agencies that have experience in providing services to runaway, homeless, and street youth.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</si>
  <si>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Administration for Children and Families (ACF); Administration on Children, Youth and Families (ACYF); Family and Youth Services Bureau (FYSB) supports organizations and communities that work every day to end youth homelessness and adolescent pregnancy. FYSBâ€™s Division of Runaway and Homeless Youth (RHY) is accepting applications for the RHY Prevention Demonstration Program (RHY-PDP). RHY-PDP supports the design and delivery of community-based demonstration initiatives to prevent youth from experiencing homelessness. Through the development and coordination of partnerships with youth and young adult service providers, community organizations, and private and public agencies, the RHY-PDP will 1) identify young people at risk of experiencing homelessness; 2) design and develop a comprehensive community-based prevention plan to prevent youth homelessness; and 3) implement robust, holistic prevention services tailored for youth and young adults to respond to the diverse needs of youth who are at risk of homelessness and their families.</t>
  </si>
  <si>
    <t>FY 2024 Basic Center Program</t>
  </si>
  <si>
    <t>Independent school districts Eligible applicants include public and non-profit private agencies and coordinated networks of such entities. For-profit organizations are not eligible. Private institutions of higher education must be non-profit entities. In selecting applicants to receive grants under this funding announcement, priority will be given to public and non-profit, private agencies that have experience in providing services to runaway, homeless, and street youth.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</si>
  <si>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Basic Center Program (BCP) provides temporary shelter and counseling services to youth who have left home without permission of their parents or guardians, have been forced to leave home, or other homeless youth who might otherwise end up in the law enforcement or in the child welfare, mental health, or juvenile justice systems. BCPs work to establish or strengthen community-based programs that meet the immediate needs of runaway and homeless youth and their families. BCP award recipients provide youth under 18 years of age with emergency shelter, food, clothing, counseling and referrals for health care. BCP award recipients can provide up to 21 days of shelter for youth and seeks to reunite young people with their families, whenever possible, or to locate appropriate alternative placements.  Additional services may include: street-based services; home-based services for families with youth at risk of separation from the family; drug abuse education and prevention services; and at the request of runaway and homeless youth, testing for sexually transmitted diseases.</t>
  </si>
  <si>
    <t>FY24 Street Outreach Program</t>
  </si>
  <si>
    <t>State governments Eligible applicants include public and non-profit private agencies and coordinated networks of such entities. For-profit organizations are not eligible. Private institutions of higher education must be non-profit entities. In selecting eligible applicants to receive grants under this funding announcement, priority will be given to public and non-profit, private agencies that have experience in providing services to runaway, homeless, and street youth.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</si>
  <si>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Street Outreach Program (SOP) provides street-based services to runaway, homeless, and street youth who have been subjected to or are at risk of being subjected to sexual abuse, prostitution, sexual exploitation, and severe forms of human trafficking in persons.  These services, targeted in areas where street youth congregate, are designed to assist such youth in making healthy choices and providing them access to shelter as well as basic needs, including food, hygiene packages and information on a rage of available services.</t>
  </si>
  <si>
    <t>FY 2024 Maternity Group Home Program</t>
  </si>
  <si>
    <t>State governments Eligible applicants include public and non-profit private agencies and coordinated networks of such entities. For-profit organizations are not eligible. Private institutions of higher education must be non-profit entities. In selecting eligible applicants to receive awards under this Notice of Funding Opportunity (NOFO), priority will be given to public and non-profit, private agencies that have experience in providing services to runaway, homeless, and street youth.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</si>
  <si>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Maternity Group Home (MGH) program provides safe, stable, and appropriate shelter for pregnant and/or parenting youth and young adults ages 16 to under 22 who have runaway or are experiencing homelessness, and their dependent child(ren), for 18 months and, under extenuating circumstances, up to 21 months. Service providers must accommodate for the needs and safety of the dependent children to include facility safety standards for infants and children on the premises. MGH services include, but are not limited to, parenting skills, child development, family budgeting, and health and nutrition education, in addition to the required services provided under the Transitional Living Program to help MGH youth and young adults realize improvements in four core outcome areas. The MGH combination of shelter and services is designed to promote long-term, economic independence to ensure the well-being of the youth and their child(ren).</t>
  </si>
  <si>
    <t>FY2024 Transitional Living Program</t>
  </si>
  <si>
    <t>Private institutions of higher education Public (state and local) and private nonprofit entities and coordinated networks of such entities, are eligible to apply unless they are part of the juvenile justice system. For profit organizations are not eligible. Private institutions of higher education must be non-profit entities. In selecting applications for to receive grants under the TLP, priority will be given to public and non-profit private agencies that have experience in providing services to runaway, homeless, and street youth.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</si>
  <si>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Transitional Living Program (TLP) provides safe, stable, and appropriate shelter for runaway and homeless youth ages 16 to under 22 for up to 18 months and, under extenuating circumstances, can be extended to 21 months. TLPs provide comprehensive services that supports the transition of homeless youth to self-sufficiency and stable, independent living. Through the provision of shelter and an array of comprehensive services, TLP youth will realize improvements in four core outcome areas (i.e., safe and stable housing, education/employment, permanent connections, and social and emotional well-being).</t>
  </si>
  <si>
    <t>Centers of Excellence to Enhance Disease Detection in Newborns</t>
  </si>
  <si>
    <t>HHS-CDC-NCEH</t>
  </si>
  <si>
    <t>Centers for Disease Control - NCEH</t>
  </si>
  <si>
    <t>Unrestricted (i.e., open to any type of entity above), subject to any clarification in text field entitled "Additional Information on Eligibility" Applicants must represent or be an administrative partner to an established state or territorial newborn screening program. Applicants must be able to implement and sustain new newborn screening programs in a U.S. state or territory.</t>
  </si>
  <si>
    <t>The use of dried blood spots to screen newborns for serious diseases has had a significant impact in saving lives and improving developmental outcomes since 1963. The adoption of new technologies into public health laboratory workflows has made it possible to screen newborns for an increasing number of diseases. Today, advanced technologies, such as Next Generation Whole Genome Sequencing and High-Resolution Mass Spectrometry, can enhance key aspects of newborn screening (NBS) practice, including early detection of current and newly added diseases. However, incorporating these advanced and complex technologies into NBS often requires substantial resources. To enhance NBS practice, CDC announces a new NOFO for a public health laboratory to establish a NBS Center of Excellence that will 1) develop infrastructure to implement existing, advanced technologies to expand NBS system capacity, 2) use advanced technologies as second and third tier testing platforms to optimize screening performance, and 3) incorporate bio-informatics to analyze complex biochemical and molecular data. Over the four-year project, the recipient will pilot methods to enhance NBS practices in public health laboratories, collaborate and share findings with the NBS community, and partner with CDC subject-matter experts on data harmonization and modernization efforts. This project will better position NBS programs to adapt to advanced technologies and meet increasing demands within NBS.</t>
  </si>
  <si>
    <t>FY2024 Vehicle Technologies Office Research   Development Funding Opportunity Announcement</t>
  </si>
  <si>
    <t>The purpose of Amendment 000002 is to revise the Funding Opportunity Announcement to revise Section I.B. Area of Interest 1 - General Requirements Item 11. - Definition of Project Progress Cells (PPCs) and Project Completion Cells (PCCs).</t>
  </si>
  <si>
    <t>Socially Disadvantaged Groups Grant</t>
  </si>
  <si>
    <t>Native American tribal governments (Federally recognized) Cooperatives, Groups of Cooperatives, Cooperative Development Centers that serve socially disadvantaged groups</t>
  </si>
  <si>
    <t>The Rural Business-Cooperative Service announces the availability of $3,000,000 in competitive grant funds for the FY 2024 Socially-Disadvantaged Groups Grant (SDGG) program. The purpose of this program is to provide technical assistance to Socially-Disadvantaged Groups in rural areas. Eligible applicants include Cooperatives, Groups of Cooperatives, and Cooperative Development Centers. This program supports Rural Developmentâ€™s (RD) mission of improving the quality of life for rural Americans and commitment to directing resources to those who most need them.</t>
  </si>
  <si>
    <t>2025 Market Access Program</t>
  </si>
  <si>
    <t>The U.S. Department of Agriculture, Foreign Agricultural Service, Global Programs, announces this funding opportunity to support the Market Access Program by issuing new awards. This opportunity is available to nonprofit U.S. agricultural trade organizations, nonprofit state regional trade groups (SRTGs), U.S. agricultural cooperatives, and state agencies and is intended to foster expanded exports and market diversification by encouraging the development, maintenance, and expansion of diverse commercial export markets for United States agricultural commodities and products.</t>
  </si>
  <si>
    <t>GOLDen hour extended EVACuation (GOLDEVAC)</t>
  </si>
  <si>
    <t>The Defense Advanced Research Projects Agency (DARPA) is soliciting innovative proposals in the following technical area: intravascular gas-exchange and trauma resuscitation through a single intravascular cannula. Proposed research should investigate innovative approaches that enable revolutionary advances which would develop the necessary device(s) to enable management of a polytrauma patient through a single intravascular access without the thrombotic complications associated with extracorporeal membrane oxygenation. Specifically excluded is research that primarily results in evolutionary improvements to the existing state of practice.</t>
  </si>
  <si>
    <t>BJA FY24 Office of Justice Programs Community Based Violence Intervention and Prevention Initiative Site-Based</t>
  </si>
  <si>
    <t>Special district governments Category 2 only: Other units of local government, such as towns, boroughs, parishes, villages, or other general purpose political subdivisions of a State</t>
  </si>
  <si>
    <t>With this solicitation, OJP seeks to prevent and reduce violent crime in communities by supporting comprehensive, evidence-based community-based violence intervention and prevention programs. These programs include efforts to address gang and gun violence, based on partnerships among community residents, local government agencies, victim service providers, community-based organizations, law enforcement, hospitals, researchers, and other community stakeholders.â€¯</t>
  </si>
  <si>
    <t>2025 Foreign Market Development Cooperator Program</t>
  </si>
  <si>
    <t>The U.S. Department of Agriculture, Foreign Agricultural Service, Global Programs, announces this funding opportunity to support the Foreign Market Development Cooperator Program by issuing new awards. This opportunity is available to nonprofit U.S. agricultural trade organizations and is intended to create, expand, and maintain longâ€“term export markets for U.S. agricultural commodities and products.</t>
  </si>
  <si>
    <t>Maine Natural Resources Conservation Service General Agreements for Assistance</t>
  </si>
  <si>
    <t xml:space="preserve">Notice of Funding Opportunity Summary 
The Natural Resources Conservation Service (NRCS), an agency under the United States Department of Agriculture (USDA), is announcing the potential availability of funding for the purpose of leveraging NRCS resources to encourage collaboration with partners in conducting outreach and providing strategic conservation delivery assistance that enhances the ability of the agency to support conservation. The overall intent of this solicitation is to solicit partnerships to help enhance the implementation of key conservation objectives and priorities outlined in this announcement. Proposals will be accepted from eligible entities for outreach and technical assistance in Maine. NRCS anticipates the total amount awarded under this announcement in Federal fiscal year 2024 will be approximately $500,000. Proposals are requested from eligible entities for competitive consideration of agreement awards and projects between  
For new users of Grants.gov, see Section D. of the full Notice of Funding Opportunity for information about steps required before submitting an application via Grants.gov.  
Key Dates  
Applicants must submit their applications via Grants.gov by 11:59 pm Eastern Time on April 19, 2024. For technical issues with Grants.gov, contact Grants.gov Applicant Support at 1-800-518-4726 or support@grants.gov. Awarding agency staff cannot support applicants regarding Grants.gov accounts. 
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The agency anticipates making selections by May 10, 2024 and expects to execute awards by September 6, 2024. These dates are estimates and are subject to change. </t>
  </si>
  <si>
    <t>Military Families Outdoors Program</t>
  </si>
  <si>
    <t>The National Park Service (NPS), the Department of Defense, Defense Health Agency (DoD) have a partnership focused on promoting the health and wellness of active-duty military service members and their families through positive engagement experiences with national parks, public lands, and waterways. These experiences will promote healthy lifestyle habits and inspire families to become environmental stewards of national parks.</t>
  </si>
  <si>
    <t>Regional Conservation Partnership Program (RCPP) Classic for Federal fiscal year (FY) 2024</t>
  </si>
  <si>
    <t>Public and State controlled institutions of higher education Entities that are classified as one of the following organizational types can serve as an eligible RCPP partner:_x000D_
a. an agricultural or silvicultural producer association or other group of producers;_x000D_
b. a state or unit of local government;_x000D_
c. an Indian tribe;_x000D_
d. a farmer cooperative;_x000D_
e. a water district, irrigation district, acequia, rural water district or association, or other organization with specific water delivery authority to agricultural producers;_x000D_
f. a municipal water or wastewater treatment entity;_x000D_
g. an institution of higher education;_x000D_
h. an organization, business, or entity with an established history of working cooperatively with producers (as determined by NRCS) to address:_x000D_
  local conservation priorities related to agricultural production, wildlife habitat development, or nonindustrial private forest land management; or_x000D_
  critical watershed-scale soil erosion, water quality, sediment reduction, or other natural resource issues;_x000D_
i. an entity, such as an Indian tribe, state government, local government, or a non-governmental organization, that has a farmland or grassland protection program that purchases agricultural land easements, as defined in 7 CFR   1468.3; _x000D_
j. a conservation district.</t>
  </si>
  <si>
    <t>Federal Awarding Agency Name: U.S. Department of Agriculture (USDA), Natural Resources Conservation Service (NRCS), Commodity Credit Corporation (CCC) 
Funding Opportunity Title: Regional Conservation Partnership Program (RCPP) Classic for Federal fiscal year (FY) 2024 
Funding Opportunity Number: USDA-NRCS-NHQ-RCPP-24-NOFO0001354 
Assistance Listing: 10.932, Regional Conservation Partnership Program (RCPP) 
Due Date: NRCS must receive proposals by 4:59 p.m. Eastern Time on July 2, 2024. 
Note: The RCPP Classic and Alternative Funding Arrangement (AFA) FY 2024 notices of funding opportunity (NFO) will run concurrently. For information on AFA proposals please see Funding Opportunity Number USDA-NRCS-NHQ-RCPPAFA-24-NOFO0001355. 
The RCPP promotes the coordination of NRCS conservation activities with partners that offer value-added contributions to expand our ability to address on-farm, watershed, and regional natural resource concerns. Through the RCPP, NRCS seeks to co-invest with partners to implement projects that provide solutions to conservation challenges thereby measurably improving the resource concerns they seek to address. RCPP promotes collaboration with partners, stakeholders, and various communities, which is paramount to achieving equity in NRCS programs and services. 
Using guidance contained in this notice, partners propose projects that generate conservation benefits by addressing specific natural resource concerns in a state or multistate area by addressing one or more priority resource concerns within an NRCS-designated critical conservation area (CCA). NRCS and partners collaborate to design, promote, and implement RCPP projects on agricultural and nonindustrial private forest land. Through RCPP, NRCS may provide both financial assistance (FA) and technical assistance (TA) funds to project partners and agricultural producers for implementing projects. RCPP proposals are evaluated through a competitive proposal process based on three criteria: impact, partner contributions, and partnership and management.  
Up to $1.5 billion is available for RCPP projects through this announcement and the FY 2024 AFA announcement, which includes $300 million of the Agriculture Improvement Act of 2018 (2018 Farm Bill) funding and $1.2 billion of Inflation Reduction Act (IRA) funding. Proposals are accepted from all 50 States, the Caribbean Area (Puerto Rico and the U.S. Virgin Islands), and U.S. territories in the Pacific Island Areas (Guam, American Samoa, and the Commonwealth of the Northern Mariana Islands). NRCS will prioritize using IRA funds for projects that will implement climate-smart agriculture and forestry conservation activities as described in section F.(3)a. of this announcement. 
Up to $100 million is being made available specifically for NRCS to enter into programmatic partnership agreements with Indian tribes. This set aside will be shared by this announcement and the FY 2024 AFA announcement. Any unused funds may be available for other partnership agreements.  
Submissions: Proposals must be submitted through the RCPP portal. See section E of this announcement for information on using the RCPP portal to submit proposals. Access to the RCPP portal requires a level 2 eAuthentication credential or a Login.gov credential. Obtaining a new Login.gov credential involves multiple steps and can take several days to complete. Instructions are posted on the How to Apply to RCPP web page listed below. 
For More Information: Applicants are expected to contact the appropriate State Conservationists and state RCPP coordinators prior to submitting a proposal. NRCS will use a state conservation questionnaire to record the results of this conversation. Proposals without a completed questionnaire may have their score and ranking reduced.  
A list of state RCPP coordinators (as of the date of this announcementâ€™s posting) is on the NRCS How to Apply to RCPP web page.  
Applicants can also email the RCPP inbox (rcpp@usda.gov) with any questions about the announcement. The RCPP website is also a great source of current information about the program. 
Interested applicants are encouraged to participate in one or more of the webinars below to learn about the program and how to apply.  
2024 RCPP NFO Applicant Outreach Webinar 
This webinar will provide general information for applicants submitting proposals for the Regional Conservation Partnership Program (RCPP). The same material will be covered at both webinars followed by a question-and-answer section. Please refer to the RCPP website for more information. Regional Conservation Partnership Program | Natural Resources Conservation Service (usda.gov) 
 April 23, 2024, RCPP Applicant Outreach Webinar Registration Link â€“ 2pm to 4pm EDT - https://events.gcc.teams.microsoft.com/event/e2f45f75-7ea4-410b-b1c9-567537cd2454@ed5b36e7-01ee-4ebc-867e-e03cfa0d4697  
 May 30, 2024, RCPP Applicant Outreach Webinar Registration Link â€“ 2pm to 4pm EDT - https://events.gcc.teams.microsoft.com/event/226dcb51-0b57-43b1-b340-95e535238713@ed5b36e7-01ee-4ebc-867e-e03cfa0d4697  
NRCS will schedule additional webinars on RCPP easements and providing outreach to tribal applicants. Information on all webinars will be posted to the RCPP how to apply page.</t>
  </si>
  <si>
    <t>Regional Conservation Partnership Program (RCPP) Alternative Funding Arrangements (AFA) for Federal fiscal year (FY) 2024</t>
  </si>
  <si>
    <t>State governments Entities that are classified as one of the following organizational types can serve as an eligible RCPP partner:_x000D_
a. an agricultural or silvicultural producer association or other group of producers;_x000D_
b. a state or unit of local government;_x000D_
c. an Indian tribe;_x000D_
d. a farmer cooperative;_x000D_
e. a water district, irrigation district, acequia, rural water district or association, or other organization with specific water delivery authority to agricultural producers;_x000D_
f. a municipal water or wastewater treatment entity;_x000D_
g. an institution of higher education;_x000D_
h. an organization, business, or entity with an established history of working cooperatively with producers (as determined by NRCS) to address:_x000D_
  local conservation priorities related to agricultural production, wildlife habitat development, or nonindustrial private forest land management; or_x000D_
  critical watershed-scale soil erosion, water quality, sediment reduction, or other natural resource issues;_x000D_
i. an entity, such as an Indian tribe, state government, local government, or a non-governmental organization, that has a farmland or grassland protection program that purchases agricultural land easements, as defined in 7 CFR   1468.3; _x000D_
j. a conservation district.</t>
  </si>
  <si>
    <t>Federal Awarding Agency Name: U.S. Department of Agriculture (USDA), Natural Resources Conservation Service (NRCS), Commodity Credit Corporation (CCC) 
Funding Opportunity Title: Regional Conservation Partnership Program (RCPP) Alternative Funding Arrangements (AFA) for Federal fiscal year (FY) 2024 
Funding Opportunity Number: USDA-NRCS-NHQ-RCPPAFA-24-NOFO0001355 
Assistance Listing: 10.932, Regional Conservation Partnership Program (RCPP) 
Due Date: NRCS must receive proposals by 4:59 p.m. Eastern Time on July 2, 2024. 
Note: The RCPP AFA and Classic FY 2024 notices of funding opportunity (NFO) will run concurrently. For information on Classic proposals please see USDA-NRCS-NHQ-RCPP-24-NOFO0001354. 
The RCPP promotes the coordination of NRCS conservation activities with partners that offer valueâ€‘added contributions to expand our ability to address on-farm, watershed, and regional natural resource concerns. Through the RCPP, NRCS seeks to co-invest with partners to implement projects that provide solutions to conservation challenges thereby measurably improving the resource concerns they seek to address. RCPP promotes collaboration with partners, stakeholders, and various communities, which is paramount to achieving equity in NRCS programs and services. 
Using guidance contained in this notice, partners propose projects that generate conservation benefits by addressing specific natural resource concerns in a state or multistate area or by addressing one or more priority resource concerns within an NRCS-designated critical conservation area (CCA). NRCS and partners collaborate to design, promote, and implement RCPP projects on agricultural and nonindustrial private forest land. Through RCPP, NRCS may provide both financial assistance (FA) and technical assistance (TA) funds to project partners and agricultural producers for implementing projects. RCPP proposals are evaluated through a competitive proposal process based on three criteria: impact, partner contributions, and partnership and management.  
Up to $1.5 billion is available for RCPP projects through this announcement and the FY 2024 Classic announcement, which includes $300 million of the Agriculture Improvement Act of 2018 (2018 Farm Bill) funding and $1.2 billion of Inflation Reduction Act (IRA) funding. Proposals will be accepted from all 50 States, the Caribbean Area (Puerto Rico and the U.S. Virgin Islands), and U.S. territories in the Pacific Island Areas (Guam, American Samoa, and the Commonwealth of the Northern Mariana Islands). NRCS will prioritize using IRA funds for projects that will implement climate-smart agriculture and forestry conservation activities as described in section F.3.a. of this announcement. 
Up to $100 million is being made available specifically for NRCS to enter into programmatic partnership agreements with Indian tribes. This set aside will be shared by this announcement and the FY 2024 Classic announcement. Any unused funds may be available for other partnership agreements.  
RCPP AFAs are intended to support project structures and approaches that cannot be carried out as effectively through the RCPP Classic NFO. RCPP AFA applicants must describe the innovative nature of the conservation approach they are proposing to justify potential funding through an RCPP AFA NFO rather than an RCPP Classic NFO. Moreover, applicants should consider the additional administrative and technical assistance responsibilities that accompany receipt of an RCPP AFA award.  
The 2018 Farm Bill provides the following examples of project types that might be implemented through RCPP AFA: 
 projects that use innovative approaches to leverage the Federal investment in conservation; 
 projects that deploy a pay-for-performance conservation approach; and 
 projects that seek large-scale infrastructure investments that generate conservation benefits for agricultural producers and nonindustrial private forest owners.  
Although RCPP AFA provides flexibilities to partners, these projects share the overarching focus of RCPP, which is to engage with producers and landowners to implement conservation practices, systems, and approaches on (or for the benefit of) agricultural and nonindustrial private forest lands. 
NRCS can make up to 15 awards through this funding opportunity through Farm Bill funding. This limit does not apply to projects funded through the Inflation Reduction Act. 
Submissions: Proposals must be submitted through the RCPP portal. See section E of this announcement for information on using the RCPP portal to submit proposals. Access to the RCPP portal requires a level 2 eAuthentication credential or a Login.gov credential. Obtaining a new Login.gov credential involves multiple steps and can take several days to complete. Instructions are posted on the How to Apply to RCPP web page listed below. 
For More Information: Applicants are expected to contact the appropriate state conservationists and state RCPP coordinators prior to submitting a proposal. NRCS will use a state conservation questionnaire to record the results of these conversations. Proposals without a completed questionnaire may have their score and ranking reduced.  
A list of state RCPP coordinators (as of the date of this announcementâ€™s posting) is on the NRCS How to Apply to RCPP web page.  
Applicants can also email the RCPP inbox (rcpp@usda.gov) with any questions about the announcement. The NRCS RCPP website is also a great source of current information about the program. 
Interested applicants are encouraged to participate in one or more of the webinars below to learn about the program and how to apply.  
2024 RCPP NFO Applicant Outreach Webinar 
This webinar will provide general information for applicants submitting proposals for the Regional Conservation Partnership Program (RCPP). The same material will be covered at both webinars followed by a question-and-answer section. Please refer to the RCPP website for more information. Regional Conservation Partnership Program | Natural Resources Conservation Service (usda.gov) 
 April 23, 2024, RCPP Applicant Outreach Webinar Registration Link â€“ 2pm to 4pm EDT - https://events.gcc.teams.microsoft.com/event/e2f45f75-7ea4-410b-b1c9-567537cd2454@ed5b36e7-01ee-4ebc-867e-e03cfa0d4697  
 May 30, 2024, RCPP Applicant Outreach Webinar Registration Link â€“ 2pm to 4pm EDT - https://events.gcc.teams.microsoft.com/event/226dcb51-0b57-43b1-b340-95e535238713@ed5b36e7-01ee-4ebc-867e-e03cfa0d4697  
NRCS will schedule additional webinars on RCPP easements and providing outreach to tribal applicants. Information on all webinars will be posted to the RCPP how to apply page.</t>
  </si>
  <si>
    <t>Medical Rehabilitation Research Resource (P50 Clinical Trial Optional)</t>
  </si>
  <si>
    <t>State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
Non-domestic (non-U.S.) components of U.S. Organizations are not eligible to apply.
Foreign components, as defined in the NIH Grants Policy Statement, are allowed.</t>
  </si>
  <si>
    <t>This Notice of Funding Opportunity (NOFO) invites grant applications from institutions/organizations that propose to build a Medical Rehabilitation Research Center. The centers will have a specific rehabilitation research theme and be comprised of a research project supported by 3 cores. The 3 cores will have functions within the center as well as functions nationwide. Together, the cores will support: administrative functions (including an optional pilot program), resource sharing, and community engagement and outreach. The Medical Rehabilitation Research Centers will contribute tomedical rehabilitation research infrastructure by developing and disseminating techniques, data, theories, research programs, and expertise with the goal of enhancing the capability of medical rehabilitation investigators to understand mechanisms of functional recovery, develop therapeutic strategies, identify clinical care gaps, and improve the lives of people with disabilities. Applications must include a plan for inclusion of People with Lived Experience (as a required other attachment) that is relevant to the research theme of the center and increases the potential impact of the center.</t>
  </si>
  <si>
    <t>Cooperative Agreements for the Garrett Lee Smith State/Tribal Youth Suicide Prevention and Early Intervention Program</t>
  </si>
  <si>
    <t>Others (see text field entitled "Additional Information on Eligibility" for clarification) Eligible applicants are States and territories; a public organization or private non-profit organization designated by a State or Indian Tribe to develop or direct a statewide youth suicide, early intervention, and prevention strategy; or a Federally recognized Indian tribe, tribal organization, or an urban Indian organization that is actively involved in the development and continuation of a tribal youth suicide early intervention and prevention strategy.</t>
  </si>
  <si>
    <t>The purpose of this program is to support states and Tribes with implementing youth (up to age 24) suicide prevention and early intervention strategies in schools, educational institutions, juvenile justice systems, substance use and mental health programs, foster care systems, pediatric health programs, and other child- and youth-serving organizations.</t>
  </si>
  <si>
    <t>Supporting Fetal Alcohol Spectrum Disorders Screening and Intervention</t>
  </si>
  <si>
    <t>Native American tribal organizations (other than Federally recognized tribal governments) All domestic public or private, nonprofit, and for-profit entities are eligible to apply. Institutions of higher education Public institutions of higher education Private institutions of higher education Nonprofit entities Nonprofits having a 501(c)(3) IRS status Nonprofits with an IRS status other than 501(c)(3) Private for-profit entities For-profit organizations Small businesses Public entities State governments, including the District of Columbia, domestic territories, and freely associated states County governments City or township governments Special district governments Independent school districts Tribes and tribal organizations Native American tribal governments Native American tribal organizations  Note: Domestic means the 50 states, the District of Columbia, the Commonwealth of Puerto Rico, the Northern Mariana Islands, American Samoa, Guam, the U.S. Virgin Islands, the Federated States of Micronesia, the Republic of the Marshall Islands, and the Republic of Palau.</t>
  </si>
  <si>
    <t>The Supporting Fetal Alcohol Spectrum Disorders (FASD) Screening and Intervention program helps reduce alcohol use during pregnancy and improves outcomes for children with FASD nationwide, especially in communities where thereâ€™s a high rate of binge drinking during pregnancy. The program focuses on educating Primary Care Providers (PCPs) and increasing the use of screening, intervention, and referral processes for high-risk pregnancies.
 The programâ€™s goals include increasing PCPsâ€™ knowledge of the risks of drinking alcohol during pregnancy as well as promoting recommended screenings, interventions, and referral approaches. In addition, PCPs who provide health care to children and adolescents will develop skills to identify and manage FASD, with a particular emphasis on fostering effective communication with families. Through recruitment, education, and technical assistance, the program aims to make lasting positive changes.
 Engaging a minimum of 80 practices over 5 years, the Supporting FASD Screening and Intervention program strives for widespread impact, particularly in communities that have high rates of binge drinking during pregnancy, including rural areas and medically underserved communities.</t>
  </si>
  <si>
    <t>Heritage (Tourism) Opportunities in Hawai i (H IHI) NATIVE Act Grant Program for Native Hawaiian Organizations</t>
  </si>
  <si>
    <t>DOI-IBC</t>
  </si>
  <si>
    <t>Interior Business Ceter</t>
  </si>
  <si>
    <t>Nonprofits that do not have a 501(c)(3) status with the IRS, other than institutions of higher education Applicants must meet the definition of and criteria for a  Native Hawaiian Organization  as defined in the NATIVE Act, 130 STAT. 847, Section 3(3), codified at 25 U.S.C.  4352(3). Criteria include:A nonprofit organization (Nonprofit organization means any corporation, trust, association, cooperative, or other organization, not including Institutions of Higher Education, that: is operated primarily for scientific, educational, service, charitable, or similar purposes in the public interest; is not organized primarily for profit; and uses net proceeds to maintain, improve, or expand the operations of the organization. 2 CFR 200.1.); that serves the interests of Native Hawaiians;that is recognized for having expertise in Native Hawaiian culture and heritage, including tourism; andin which Native Hawaiians serve in substantive and policymaking positions.Applicants must include an attestation in their Project Narrative that they meet the definition of and criteria for a  Native Hawaiian Organization  as defined in the NATIVE Act, 130 STAT. 847, Section 3(3), codified at 25 U.S.C.  4352(3).</t>
  </si>
  <si>
    <t>BackgroundThe Office of Native Hawaiian Relationsâ€™ (ONHR) Heritage (Tourism) Opportunities in HawaiÊ»i (HOÌ„Ê»IHI) Grant Program serves to implement the Native Hawaiian Organization NATIVE Act Grants under CFDA 15.068 and the provisions of the Native American Tourism and Improving Visitor Experience Act (NATIVE Act), 25 U.S.C. 4351 et seq.  The purposes of the NATIVE Act include establishing a more inclusive national travel and tourism strategy and providing opportunities, including funding, for Native Hawaiian organizations (NHO) as distinctly defined in the NATIVE Act, with the potential to deliver significant benefits, including job creation, elevated living standards, and expanded economic opportunities, for the Native Hawaiian Community.Tourism in HawaiÊ»i has grown over the last century as visitor arrivals surpassed 10 million in 2020 and has seen a recovery since the drop in arrivals during the pandemic, with 9.4 million visitor arrivals in 2022 in a state whose population is less than 1.5 million people.  This volume of visitors has led to excessive pressure on HawaiÊ»iâ€™s natural and cultural resources, including many long held sacred by members of the Native Hawaiian Community. Tourism in HawaiÊ»i relies heavily on the Native Hawaiian culture as its overarching theme and draw and has operated as an extractive industry, depleting resources and often displacing Native Hawaiian Community members from their traditional lands, homes, and places of worship.  Frustration amongst Native Hawaiian Community members has resulted in urgent calls to reevaluate priorities and to transform tourism into a regenerative industry, one that invests back into restoring and sustaining resources, including human resources, in HawaiÊ»i. Given that tourism will remain a major economic driver for many states, including HawaiÊ»i, the NATIVE Act plays an important role in promoting heritage and cultural tourism opportunities through the self-determining participation of Native American communities, including the Native Hawaiian Community, in the visitor industry.The Hawaiian value of hoÌ„Ê»ihi (to treat with reverence or respect), as reflected in the Ê»oÌ„lelo noÊ»eau (Hawaiian proverb) â€œE hoÌ„Ê»ihi aku, e hoÌ„Ê»ihi mai,â€ meaning â€œshow respect, get respectâ€, represents the core principle of ONHRâ€™s HOÌ„Ê»IHI Grant Program.  Through showing respect, visitors (tourists) can then be welcomed as guests with a shared kuleana (responsibility) in perpetuating the values and importance of Native Hawaiian traditional knowledge and cultural practices.  This Ê»oÌ„lelo noÊ»eau serves as a foundational guide for ONHRâ€™s HOÌ„Ê»IHI Grant Program to aide in actions that:Showcase the heritage, places, arts, foods, traditions, history and continuing vitality of the Native Hawaiian Community;Identify, enhance, revive, or maintain loea (cultural traditions and practices), wahi kuÌ„puna (ancestral spaces) and wahi pana (sacred spaces) that are important to sustain the distinctiveness of the Native Hawaiian Community; andProvide for authentic and respectful visitor experiences in HawaiÊ»i.These grants and subsequent actions by NHOs are also expected to facilitate job creation, stimulate economic activity, and contribute to elevating the living standards in the Native Hawaiian Community. Program Priorities for 2024For fiscal year 2024, ONHR will fulfill the core principles of the HOÌ„Ê»IHI Grant Program by providing grant funding to successful NHO applicants who meet the criteria for one or more of the following priorities:Uplift, perpetuate, and in some cases revive, traditional Native Hawaiian practices (e.g., Ê»oÌ„lelo HawaiÊ»i, kapa making, lauhala and kaula weaving, hula, amongst many others including lesser known practices) by creating opportunities for demonstrations, visitor education on history, usage, and protocols, or hands-on visitor participation experiences in the cultural practice;Support the maintenance, enhancement, and protection of HawaiÊ»iâ€™s natural resources, wahi kuÌ„puna, and wahi pana at areas impacted by tourism;Enhance the entrepreneurial capacity for the Native Hawaiian Community by helping create business opportunities in the visitor industry, offering business development training, or stimulating economic activity; AND/ORUndertake related activities with visitors that convey respect and reaffirm the principle of reciprocation to the place, resources, and traditional knowledge holders and practitioners.For the purposes of this notice of funding opportunity (NOFO), Native Hawaiian cultural practices may include, but are not limited to, traditional: farming practices, food preparation, material gathering and production of implements, products, and adornments, and cultural activities such as moÊ»olelo, dance, chant, song, arts, construction, and recreation.</t>
  </si>
  <si>
    <t>Historic Preservation Training Center Facility Management and Historic Preservation Emerging Professional Engagement</t>
  </si>
  <si>
    <t xml:space="preserve">City or township governments </t>
  </si>
  <si>
    <t>A.  Program Need: The Historic Preservation Training Center (HPTC) is dedicated to the preservation and maintenance of historic buildings, structures, and features of the NPS and its partners. The HPTC executes this commitment by demonstrating outstanding leadership through field preservation schooling for basic hands-on craft skills development in masonry, carpentry, wood crafting, and architectural building identification, evaluation, and condition assessment techniques.  The HPTC utilizes historic preservation projects as its main instrument for teaching preservation philosophy and progressive development of building crafts knowledge, exposure to the newest stabilization practices, techniques and applications, and enriching project management skills. This structure lends itself to accommodate on projects additional individuals looking to learn and practice new skills through hands-on projects.  The HPTC is continuing to grow significantly across the NPS in scope and scale. Additional technical assistance on projects from skilled individuals will assist it in more responsively meeting the demand for project work at NPS sites across the country, and thus better accomplish the HPTC and overall NPS mission to preserve cultural resources for future generations to experience, learn from, and enjoy.B.  Program Objectives: The program objective is to support and stimulate preservation trades and project work on NPS cultural resources through hosting pre-apprentice-style and pre-professional experiences for emerging professionals in the fields of facility management and cultural resource restoration and rehabilitation. Specifically, the program focuses on engaging existing students and graduates of trade schools focused on historic preservation skills and knowledge (such as those listed on The Campaign for Historic Trades website) or other facility relevant trades and fields (e.g. water/wastewater management, engineering, architecture, project management, etc.) and degree programs applicable to public land facility management who are looking for opportunities to apply their education to real-life projects. The program will promote greater public and private participation in historic preservation and facility programs and activities while simultaneously building resource stewardship ethics in its participants. An ancillary benefit and objective is to provide the National Park Service with trained individuals to help complete critical historic preservation and facility projects. The program will combine an intensive, immersive work atmosphere with tailored classroom and field-based curriculum to provide participants with any additionally necessary training related to the maintenance, restoration, and preservation of the infrastructure (buildings, bridges, monuments, memorials, culverts, etc.) found on public lands. The work completed will be on active NPS backlogged preventative maintenance and other projects alongside NPS maintenance and preservation professionals. Any curriculum provided by NPS will support this hands-on experience through reinforcement of the importance of trade skills, ethics of conservation and preservation on public lands.The program will strive to engage emerging student or recent graduations (2 years) historic trades and facility professionals from diverse backgrounds currently underrepresented in this field of work. The goal is to interest these skilled individuals in NPS career opportunities and thus diversify the NPS Facilities workforce.</t>
  </si>
  <si>
    <t>Strategic Trade Control Capacity Building in the Western Hemisphere</t>
  </si>
  <si>
    <t>The purpose of this award is to help EXBS partners in the Western Hemisphere build capacity to implement and enforce strategic trade controls and related mechanisms (e.g., foreign direct investment screening regimes) to mitigate proliferation risks.</t>
  </si>
  <si>
    <t>NIJ FY24 Community-Based Violence Intervention and Prevention Initiative (CVIPI) Research and Evaluation</t>
  </si>
  <si>
    <t>Independent school districts Units of local government</t>
  </si>
  <si>
    <t>With this solicitation, NIJ seeks applications for funding of rigorous, independent evaluation projects funded under the OJP Community-Based Violence Intervention and Prevention Initiative (CVIPI). This solicitation includes two funding categories: 1) Evaluation research of programmatic sites funded under the OJP FY23 and FY24 CVIPI solicitations; and 2) evaluation research of other community-violence programs.</t>
  </si>
  <si>
    <t>OJJDP FY24 Arts Programs for Justice-Involved Youth</t>
  </si>
  <si>
    <t>Public and State controlled institutions of higher education Units of local government, such as towns, boroughs, parishes, villages, or other general purpose political subdivisions of a state</t>
  </si>
  <si>
    <t>With this solicitation, OJJDP seeks to support and strengthen collaborations between arts-based organizations and juvenile justice systems to develop, expand, or enhance promising and effective interventions that provide access to high-quality arts programs with and for current or previous justice-involved youth to reduce juvenile delinquency, recidivism, and/or other problem and high-risk behaviors. OJJDP defines justice-involved youth as those participating in court-ordered diversion programs in detention, correctional, or other residential facilities, and/or are on probation due to a delinquency finding by juvenile court.</t>
  </si>
  <si>
    <t>FY 2024 IIJA/IRA Bureau of Land Management Arizona Plant Conservation and Restoration Management</t>
  </si>
  <si>
    <t>DOI-BLM</t>
  </si>
  <si>
    <t>Bureau of Land Management</t>
  </si>
  <si>
    <t>Native American tribal organizations (other than Federally recognized tribal governments) Individuals and For-Profit Organizations are ineligible to apply for awards under this NOFO.This program NOFO does not support entities hiring interns or crews under the Public Lands Corps Act of 1993. The Public Lands Corps Act of 1993, 16 USC, Chapter 37, Subchapter II-Public Lands Corps, is the only legislative authority that allows BLM to   interns under this authority. Therefore, eligible Youth Conservation Corps may only apply for projects developed under NOFO 15.243   BLM Youth Conservation Opportunities on Public Lands. CESUs are partnerships with a purpose to promote, conduct, and provide research, studies, assessments, monitoring, technical assistance, and educational services. If a cooperative agreement is awarded to a CESU partner under a formally negotiated Master CESU agreement which is consistent with the CESU purpose, indirect costs are limited to a rate of no-more-than 17.5 percent of the indirect cost base recognized in the partner's Federal Agency-approved Negotiated Indirect Cost Rate Agreement (NICRA). Applicant s should specify if their proposal furthers the purpose of the CESU program, and if so which CESU Network should be considered as host.</t>
  </si>
  <si>
    <t>Bureau of Land Management Arizona State Office Plant Conservation and Restoration Management Program</t>
  </si>
  <si>
    <t>FY 2024 IIJA/IRA Bureau of Land Management Arizona Invasive and Noxious Plant Management Program</t>
  </si>
  <si>
    <t>City or township governments Individuals and For-Profit Organizations are ineligible to apply for awards under this NOFO.This program NOFO does not support entities hiring interns or crews under the Public Lands Corps Act of 1993. The Public Lands Corps Act of 1993, 16 USC, Chapter 37, Subchapter II-Public Lands Corps, is the only legislative authority that allows BLM to   interns under this authority. Therefore, eligible Youth Conservation Corps may only apply for projects developed under NOFO 15.243   BLM Youth Conservation Opportunities on Public Lands.CESUs are partnerships with a purpose to promote, conduct, and provide research, studies, assessments, monitoring, technical assistance, and educational services. If a cooperative agreement is awarded to a CESU partner under a formally negotiated Master CESU agreement which is consistent with the CESU purpose, indirect costs are limited to a rate of no-more-than 17.5 percent of the indirect cost base recognized in the partner's Federal Agency-approved Negotiated Indirect Cost Rate Agreement (NICRA).  Applicant s should specify if their proposal furthers the purpose of the CESU program, and if so which CESU Network should be considered as host.</t>
  </si>
  <si>
    <t>Department of the Interior - Bureau of Land Management Arizona Invasive and Noxious Plant Management</t>
  </si>
  <si>
    <t>FY 2024 IIJA/IRA Bureau of Land Management Arizona Wildlife Program</t>
  </si>
  <si>
    <t>Private institutions of higher education Individuals and For-Profit Organizations are ineligible to apply for awards under this NOFO.This program NOFO does not support entities hiring interns or crews under the Public Lands Corps Act of 1993. The Public Lands Corps Act of 1993, 16 USC, Chapter 37, Subchapter II-Public Lands Corps, is the only legislative authority that allows BLM to   interns under this authority. Therefore, eligible Youth Conservation Corps may only apply for projects developed under NOFO 15.243   BLM Youth Conservation Opportunities on Public Lands. CESUs are partnerships with a purpose to promote, conduct, and provide research, studies, assessments, monitoring, technical assistance, and educational services. If a cooperative agreement is awarded to a CESU partner under a formally negotiated Master CESU agreement which is consistent with the CESU purpose, indirect costs are limited to a rate of no-more-than 17.5 percent of the indirect cost base recognized in the partner's Federal Agency-approved Negotiated Indirect Cost Rate Agreement (NICRA). Applicant s should specify if their proposal furthers the purpose of the CESU program, and if so which CESU Network should be considered as host.</t>
  </si>
  <si>
    <t>Department of the Interior - Bureau of Land Management Arizona (AZ) State Office Wildlife Program</t>
  </si>
  <si>
    <t>U.S. Embassy Belmopan PAS Annual Program Statement</t>
  </si>
  <si>
    <t>DOS-BLZ</t>
  </si>
  <si>
    <t>U.S. Mission to Belize</t>
  </si>
  <si>
    <t>Others (see text field entitled "Additional Information on Eligibility" for clarification) Academic, cultural, educational, and other non-profit organizations and/or individuals.</t>
  </si>
  <si>
    <t xml:space="preserve">U.S. DEPARTMENT OF STATE
 U.S. EMBASSY BELMOPAN, PUBLIC AFFAIRS SECTION (PAS)
Annual Program Statement
Funding Opportunity Title: U.S. Embassy Belmopan PAS Annual Program Statement
Funding Opportunity Number: PAS-001-FY2024
Deadline for Applications: May 31, 2024, and July 31, 2024
The Public Affairs Section will accept proposals in two rounds, the first ending May 31, 2024 and the second ending July 31, 2024. Proposals received during Round 1 should plan to start no later than July 2024, and proposals received during round 2 should plan to start no later than September 2024. No applications will be accepted after that date. 
CFDA Number: 19.040 â€“ Public Diplomacy Programs
Total Amount Available: Amount pending funds availability
Maximum for Each Award: $10,000
The U.S. Embassy Belmopan Public Affairs Section (PAS) of the U.S. Department of State is pleased to announce that funding is available through its Public Diplomacy Grants Program. This Annual Program Statement (APS) outlines our funding priorities, strategic themes, and the procedures for submitting requests for funding. Applications for programs are accepted on a rolling basis until the deadlines. The deadlines are necessary to provide sufficient time to process and award programs in advance of the end of our fiscal year on September 30, 2024. 
Purpose of Grants: PAS Belmopan invites proposals for projects that strengthen ties between the United States and Belize by highlighting shared values and promoting bilateral cooperation. Grant proposals must convey an American cultural element, support a priority program area (see below), or include a connection with American experts, organizations, or institutions in a specific field that will promote increased understanding of U.S. policy and perspectives.
Please see the full NOFO in the Related Documents folder and carefully follow all instructions to apply.
</t>
  </si>
  <si>
    <t>Empowering Media Savvy Youth</t>
  </si>
  <si>
    <t>Others (see text field entitled "Additional Information on Eligibility" for clarification)   Not-for-profit organizations_x000D_
  For-profit organizations (remember non-PD money only)_x000D_
  Civil society/non-governmental organizations _x000D_
  Think tanks _x000D_
  Public and private educational institutions_x000D_
  Public International Organizations and Governmental institutions</t>
  </si>
  <si>
    <t>The U.S. Department of State's Public Diplomacy Section (PDS) in India is pleased to announce an open competition for a cooperative agreement to support the "Empowering Media Savvy Youth" project in FY2024. This project will be implemented in five Indian cities: New Delhi, Mumbai, Chennai, Kolkata, and Hyderabad.This project endeavors to confront the growing menace of online manipulation and reinforce regional security, thereby reflecting the shared commitment of the U.S.-India partnership to cultivate a secure digital landscape and combat external influences. Through targeted digital literacy and resilience programs, the project empowers diverse communities across the target cities.(Please refer to the full announcement available under 'related documents' tab)</t>
  </si>
  <si>
    <t>Space Experiential Learning Center (SELC)</t>
  </si>
  <si>
    <t>Others (see text field entitled "Additional Information on Eligibility" for clarification)   Not-for-profit organizations_x000D_
  For-profit organizations (remember non-PD money only)_x000D_
  Civil society/non-governmental organizations _x000D_
  Think tanks._x000D_
  Public and private educational institutions_x000D_
  Public International Organizations and Governmental institutions</t>
  </si>
  <si>
    <t>The U.S. Department of Stateâ€™s Public Diplomacy Section in New Delhi is soliciting proposals for a grant that meets the specifications stated in Section II from legally recognized nonprofit, nongovernmental organizations that comply with U.S. and Indian technical and legal requirements to develop and implement public diplomacy programs.American Center New Delhi (ACND) is poised to establish a cutting-edge Space Experiential Learning Center (SELC). This innovative facility will leverage state-of-the-art space equipment and immersive experiences to provide comprehensive theoretical education and hands-on practical training. The SELC aims to cultivate and expand the expertise of 60 aspiring space enthusiasts across four cohorts, each comprising 15 participants from diverse backgrounds. The program, spanning approximately one year, will consist of classroom sessions conducted at ACND, focusing on space exploration, astronomy, and related topics, followed by field visits to further deepen participants' understanding of space science and technology.This Notice of Funding Opportunity (NOFO) invites proposals for the operation and demonstration of experiences at ACND. The necessary physical infrastructure for the SELC will be provided by ACND.(Please refer to the full announcement available under 'related documents' tab)</t>
  </si>
  <si>
    <t>IIJA/IRA Bureau of Land Management Alaska Wildlife Program</t>
  </si>
  <si>
    <t>County governments Individuals and For-Profit Organizations are ineligible to apply for awards under this NOFO.This program NOFO does not support entities hiring interns or crews under the Public Lands Corps Act of 1993. The Public Lands Corps Act of 1993, 16 USC, Chapter 37, Subchapter II-Public Lands Corps, is the only legislative authority that allows BLM to   interns under this authority. Therefore, eligible Youth Conservation Corps may only apply for projects developed under NOFO 15.243   BLM Youth Conservation Opportunities on Public Lands. CESUs are partnerships with a purpose to promote, conduct, and provide research, studies, assessments, monitoring, technical assistance, and educational services. If a cooperative agreement is awarded to a CESU partner under a formally negotiated Master CESU agreement which is consistent with the CESU purpose, indirect costs are limited to a rate of no-more-than 17.5 percent of the indirect cost base recognized in the partner's Federal Agency-approved Negotiated Indirect Cost Rate Agreement (NICRA). Applicant s should specify if their proposal furthers the purpose of the CESU program, and if so which CESU Network should be considered as host.</t>
  </si>
  <si>
    <t>Department of the Interior - Bureau of Land Management Alaska Wildlife Program</t>
  </si>
  <si>
    <t>Rare Diseases Clinical Research Consortia (RDCRC) for the Rare Diseases Clinical Research Network (RDCRN) (U54 Clinical Trial Optional)</t>
  </si>
  <si>
    <t>Native American tribal organizations (other than Federally recognized tribal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
Non-domestic (non-U.S.) components of U.S. Organizations are not eligible to apply.
Foreign components, as defined in the NIH Grants Policy Statement, are allowed.</t>
  </si>
  <si>
    <t>The objective of this Notice of Funding Opportunity (NOFO) is to invite new and renewal applications for the Rare Diseases Clinical Research Consortia (RDCRC) that comprise the Rare Diseases Clinical Research Network (RDCRN). The RDCRCs are intended to advance and improve diagnosis, management, and treatment of numerous, diverse rare diseases through highly collaborative, multi-site, patient-centric, translational and clinical research. Special emphasis will be placed on the early and timely identification of individuals with rare diseases and clinical trial readiness.</t>
  </si>
  <si>
    <t>Local Works for livestock activity in Turkmenistan</t>
  </si>
  <si>
    <t>Unrestricted (i.e., open to any type of entity above), subject to any clarification in text field entitled "Additional Information on Eligibility" Organizations that have NOT received more than $5 million directly from USAID (i.e. as the prime awardee) in the last five years.</t>
  </si>
  <si>
    <t>USAID/Central Asia envisions an upcoming activity in the area of cattle productivity and meat and dairy value chain strengthening in Turkmenistan. The upcoming activity will focus on improving cattle productivity through one or more of the following approaches: (1) improving small and medium-size farmsâ€™ access to genetic material for more productive cattle breeds; (2) improving small and medium farmsâ€™ access to quality feed; (3) improving farmersâ€™ knowledge and skills in proper cattle care; and (4) other activities to strengthen the local dairy and meat value chains.
USAID is exploring the landscape of actors with capacity and experience in Turkmenistan, in the areas of grant and contract administration, and/or in the livestock sector. This Request for Information (RFI) seeks information on the availability, interest, and diverse capacities of entities to support a prospective USAID livestock activity in Turkmenistan.</t>
  </si>
  <si>
    <t>NIJ FY24 Field-Initiated Action Research Partnerships</t>
  </si>
  <si>
    <t>County governments Federal agencies, Units of local government</t>
  </si>
  <si>
    <t>With this solicitation, NIJ seeks research partnership proposals that meet the needs and missions of local justice and service provider entities â€” including police, corrections, courts, victim services, forensic science service providers, and community safety and adult and juvenile justice entities â€” and the communities they serve. These partnerships should apply a data-driven, problem-solving approach to challenges prioritized by agency partners; identify actionable and measurable responses; implement changes; and employ an action research evaluation approach to assessing the impact of interventions on desired outcomes that emphasizes scientific rigor and meaningful stakeholder engagement. These partnerships should also focus on developing the entityâ€™s capacity to adopt data-driven, problem-solving approaches to sustain effective practices and ongoing improvement in relevant safety and justice outcomes.</t>
  </si>
  <si>
    <t>Digital Projects for the Public</t>
  </si>
  <si>
    <t>NEH</t>
  </si>
  <si>
    <t>National Endowment for the Humanities</t>
  </si>
  <si>
    <t xml:space="preserve">Native American tribal governments (Federally recognized) </t>
  </si>
  <si>
    <t>The National Endowment for the Humanities (NEH) Division of Public Programs is accepting applications for the Digital Projects for the Public program. This program supports projects that interpret and analyze humanities content in primarily digital platforms and formats, such as websites, mobile applications and tours, interactive touch screens and kiosks, games, and virtual environments.</t>
  </si>
  <si>
    <t>FY23-24 Consolidated Rail Infrastructure and Safety Improvements Grant Program</t>
  </si>
  <si>
    <t>DOT-FRA</t>
  </si>
  <si>
    <t>DOT - Federal Railroad Administration</t>
  </si>
  <si>
    <t>County governments Eligible Applicants: 
1. A State (including the District of Columbia).
2. A group of States.
3. An Interstate Compact.
4. A public agency or publicly chartered authority established by 1 or more States.
5. A political subdivision of a State.
6. Amtrak or another rail carrier that provides intercity rail passenger transportation (as rail carrier and intercity rail passenger transportation are defined in section 24102).
7. A Class II railroad or Class III railroad, including any holding company of a Class II railroad or Class III railroad (as those terms are defined in section 20102).
8. An association representing 1 or more railroads described in paragraph (7).
9. A federally recognized Indian Tribe. 
10. Any rail carrier or rail equipment manufacturer in partnership with at least 1 of the entities described in paragraphs (1) through (5).
11. The Transportation Research Board and any entity with which it contracts in the development of rail-related research, including cooperative research programs.
12. A University transportation center engaged in rail-related research.
13. A non-profit labor organization representing a class or craft of employees of rail carriers or rail carrier contractors.</t>
  </si>
  <si>
    <t>This program funds projects that improve the safety, efficiency, and reliability of intercity passenger and freight rail.</t>
  </si>
  <si>
    <t>2024 CDRLF Grant Round</t>
  </si>
  <si>
    <t>NCUA</t>
  </si>
  <si>
    <t>National Credit Union Administration</t>
  </si>
  <si>
    <t>Others (see text field entitled "Additional Information on Eligibility" for clarification) Please review the Notice of Funding Opportunity for specific eligibility information.</t>
  </si>
  <si>
    <t>The National Credit Union Administration (NCUA) is issuing this Notice of Funding Opportunity (NOFO) to announce the availability of technical assistance grants (awards) for low-income designated credit unions through the 2024 CDRLF Grant Round. The grant round opens on May 1, 2024. For more detailed information, please refer to the NOFO and the Additional information below. Please note that applications should not be submitted through grants.gov, so please be sure to review the NOFO for full application submission instructions.</t>
  </si>
  <si>
    <t>National Center on Elder Abuse Resource Center</t>
  </si>
  <si>
    <t>The purpose of this cooperative agreement is to provide relevant information, materials, and support to strengthen state and local efforts in preventing and addressing elder maltreatment. The grantee will serve as the national leader and authority in the area of abuse, neglect and exploitation. The grantee will disseminate current resources in the area of abuse, neglect and exploitation; partner with federal and non-federal partners to create World Day on Elder Abuse activities; to develop and identify and curate promising best practices/policies in the field; to develop, compile, publish, and disseminate training materials for professionals; and to provide technical assistance to grantees, state, federal, and non-federal entities.</t>
  </si>
  <si>
    <t>Building the Capacity of the CT Court Tribunals Administration and Security</t>
  </si>
  <si>
    <t>Others (see text field entitled "Additional Information on Eligibility" for clarification)   Not-for-profit organizations, including think tanks and civil society/non-governmental organizations
  Public and private educational institutions
  Public International Organizations (PIOs) and Governmental institutions</t>
  </si>
  <si>
    <t>The Bureau of Counterterrorism (CT) of the U.S. Department of State announces an open competition for organizations to submit applications to provide assistance to build the capacity of Philippines counterterrorism courts so they can safely and effectively operate, manage cases, and secure court facilities in order to successfully try and adjudicate terrorism-related cases in a timelier fashion.</t>
  </si>
  <si>
    <t>Expanding Outreach and Professional Training to Engage Older Adults with Behavioral Health Conditions in Evidence-Based Health Promotion Programs</t>
  </si>
  <si>
    <t>Nonprofits having a 501(c)(3) status with the IRS, other than institutions of higher education Foreign entities are not eligible to compete for, or receive, awards made under this announcement. Faith-based and community organizations that meet the eligibility requirements are eligible to receive awards under this funding opportunity announcement.</t>
  </si>
  <si>
    <t>The purpose of this funding opportunity is to provide leadership, expert guidance, training, and resources to community-based organizations and aging and disability service providers to increase the engagement of older adults with mental and behavioral health needs in evidence-based health promotion programs. Outcomes will include an environmental scan of barriers adults with mental and behavioral health needs experience related to evidence-based program engagement, needs assessment(s) of target audiences, and development and implementation of appropriate training and resources for professionals and service providers. Content created under this grant program must have the potential for broad implementation throughout the aging services network.</t>
  </si>
  <si>
    <t>Adaptation of Diabetes Control Technologies for Older Adults with T1D  (R01 Clinical Trial Optional)</t>
  </si>
  <si>
    <t>Nonprofits having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</si>
  <si>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main objective of this NOFO is to foster development and testing of technologies adaptable to aging-related changes in older adults (aged 65 years or older) with T1D to improve diabetes management and quality of life. Older adults may have increased vulnerability to hypoglycemia, cognitive impairment and/or multiple co-morbidities which may affect the risks and benefits of these technologies in this population. Projects will be funded to a) develop and test new technologies and b) to adapt and test existing technologies. It is expected that aging-adaptive diabetes technologies that address barriers for use among older adults with T1D will improve usability, adoption and adherence decreasing the risk of hypoglycemia (and hypoglycemia unawareness) while enhancing glycemic control, facilitating better diabetes management, and improving quality of life for these individuals and their caregivers.</t>
  </si>
  <si>
    <t>Minority Research Grant Program 2024</t>
  </si>
  <si>
    <t>HHS-CMS</t>
  </si>
  <si>
    <t>Centers for Medicare &amp; Medicaid Services</t>
  </si>
  <si>
    <t>Private institutions of higher education This funding opportunity is open to the following eligible entities: 1) Historically Black Colleges and Universities (HBCUs), 2) Hispanic Serving Institutions (HSIs), 3) Asian American and Native American and Pacific Islander-Serving Institutions (AANAPISIs), 4) Tribal Colleges and Universities (TCUs), 5) Alaska Native and Native Hawaiian Serving Institutions (ANNHs), 6) Native American-Serving Non-Tribal Institutions (NASNTIs), or 7) Predominantly Black Institutions (PBIs).</t>
  </si>
  <si>
    <t>The Minority Research Grant Program, authorized under Section 1110 of the Social Security Act, provides funding opportunities to support health equity research. The purpose of this Notice of Funding Opportunity (NOFO) is to encourage innovative health services research that can directly and demonstrably contribute to the improvement of health outcomes for people from all minority populations. Eligible applicants are: 1) Historically Black Colleges and Universities (HBCUs), 2) Hispanic Serving Institutions (HSIs), 3) Asian American and Native American and Pacific Islander-Serving Institutions (AANAPISIs), 4) Tribal Colleges and Universities (TCUs), 5) Alaska Native and Native Hawaiian Serving Institutions (ANNHs), 6) Native American-Serving Non-Tribal Institutions (NASNTIs), or 7) Predominantly Black Institutions (PBIs). This program also encourages research that focuses on the reduction of health disparities at the health care system-level. Such research will stimulate interest in the characterization and inferential analysis of determining factors associated with health-related social needs and to provide funding in this area. A single institution may submit more than one application for consideration, provided that each application is scientifically distinct.</t>
  </si>
  <si>
    <t>Quality Improvement Center on Helplines and Hotlines</t>
  </si>
  <si>
    <t>Public and State controlled institutions of higher education Per the statute,  The Secretary may make grants to, and enter into contracts with, entities that are states, Indian tribes, or tribal organizations, or public agencies or private agencies or organizations (or combinations of such entities)...  (42 U.S.C. 5106(a)).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</si>
  <si>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This Notice of Funding Opportunity will establish, by cooperative agreement, a Quality Improvement Center on Helplines and Hotlines (QIC-H2). The goal of the QIC-H2 is to build national capacity for community-based helplines to serve as an alternative to child welfare intervention and develop clear, evidence-based understanding of the distinction between poverty and willful parental neglect in child maltreatment assessment. To achieve these goals, the QIC-H2 has the following primary objectives: (A) Build a repository of national models and best practices for the operation of community-based helplines that can link families with needed concrete supports as a primary prevention strategy and an alternative to child protective services (CPS) hotlines. (B) Develop an evidenced-informed curriculum or supplemental training materials for mandated reporters and hotline staff to overcome bias in decision making and clearly distinguish between poverty and willful parental neglect in child abuse reporting. (C) Identify and support a limited number of diverse pilot sites with a demonstrated capacity to test selected strategies in their community. (D) Evaluate funded efforts to measure the QIC-H2â€™s effectiveness in meeting the goals and objectives of this funding and widely disseminate findings, recommendations, and best practices.</t>
  </si>
  <si>
    <t>Discovery of Early Type 1 Diabetes Disease Processes in the Human Pancreas [HIRN Consortium on Beta Cell Death and Survival (CBDS)] (U01 Clinical Trial Not Allowed)</t>
  </si>
  <si>
    <t>City or township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</si>
  <si>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This Notice of Funding Opportunity (NOFO) requests applications to explore human pancreatic tissues and the immune compartment for the discovery of specific signaling or processing pathways that may contribute to the asymptomatic phase of T1D, the discovery of early biomarkers of T1D pathogenesis, the development of diagnostic tools for the detection and staging of early T1D in at-risk or recently-diagnosed individuals, and/or the identification and biological validation of therapeutic targets for the development of preventative or early treatment strategies. Successful applicants will join the Consortium on Beta Cell Death and Survival (CBDS), whose mission is to better define and detect the mechanisms of beta cell stress and destruction central to the development of T1D in humans, with the long-term goal of protecting the residual beta cell mass in T1D patients as early as possible in the disease process, and of preventing the progression to autoimmunity. The CBDS is part of a collaborative research framework, the Human Islet Research Network (HIRN, https://hirnetwork.org/), whose overall mission is to support innovative and collaborative translational research to understand how human beta cells are lost in T1D, and to find innovative strategies to protect and replace functional beta cell mass in humans. This NOFO will only support studies with a primary focus on increasing our understanding of human disease biology (as opposed to rodent or other animal models). This NOFO will not accept applications proposing a clinical trial.</t>
  </si>
  <si>
    <t>Immunobiology of Xenotransplantation (U19 Clinical Trial Not Allowed)</t>
  </si>
  <si>
    <t>Independent school districts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
Non-domestic (non-U.S.) components of U.S. Organizations are not eligible to apply.
Foreign components, as defined in the NIH Grants Policy Statement, are allowed.</t>
  </si>
  <si>
    <t>The purpose of this notice of funding opportunity (NOFO) is to solicit applications to participate in the Immunobiology of Xenotransplantation Cooperative Research Program (IXCRP), a multi-center program dedicated to resolving immunologic and physiologic barriers to safe and efficacious xenotransplantation using preclinical pig to nonhuman primate (NHP) or human decedent models of pancreatic islet, kidney, heart, lung, or liver xenotransplantation.</t>
  </si>
  <si>
    <t>Immunobiology of Xenotransplantation (U01 Clinical Trial Not Allowed)</t>
  </si>
  <si>
    <t>Public and State controlled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</si>
  <si>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Child Development Research Fellowship Program</t>
  </si>
  <si>
    <t>Native American tribal organizations (other than Federally recognized tribal governments) Applicant organizations must have professional development of academic researchers as a core organizational activity.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</si>
  <si>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Administration for Children and Families (ACF) is funding a cooperative agreement to sponsor the Child Development Research Fellowship that gives child development professionals from across the national academic research community the opportunity to experience policy research relevant to programs serving low-income children and families. This award is for an organization to lead the Child Development Research Fellowship Program. The organization must be a Professional Membership Organization for researchers who can support the Child Development Research Fellowship Program. A Professional Membership Organization aims to support individuals professionally and aid them in progressing within their career/profession. The goal of the fellowship program is to expose researchers to policy environments, particularly at the federal level, whereby they gain skills and expertise for policy-relevant research. The program is intended to stimulate the fellowsâ€™ knowledge of child development research and evaluation, particularly regarding services for low-income children and families, and to inform their process of developing long-term, policy-relevant research and evaluation agendas. The public will benefit from the increased availability of researchers highly skilled and experienced in policy and program relevant research and evaluation. Fellows will engage on a full-time basis for a period of 1 year (with a possible second or third year at the discretion of the award recipient and depending on funding availability). Fellows will be exposed to the broader child development policy environment, particularly at the federal level, and to the policy research community through activities organized and conducted by the award recipient. Fellows will learn extensively about ACF and our programs that serve young children and their families. The cooperative agreement will require active partnership between the successful applicant and Office of Planning, Research and Evaluation (OPRE).For more information about OPRE, see http://www.acf.hhs.gov/opre . Please subscribe to this forecast at grants.gov to receive notification of any updates.</t>
  </si>
  <si>
    <t>Small Business Innovation Research (SBIR) Program Phase II</t>
  </si>
  <si>
    <t>Others (see text field entitled "Additional Information on Eligibility" for clarification) Applicants must qualify as a Small Business Concern for Research/Research and Development (R/R D) purposes, as defined in Section 1.05 of this NOFO, at the time of award. In addition, the primary employment of the principal investigator must be with the small business at the time of the award and during the conduct of the proposed research. Primary employment means that more than one-half of the principal investigator's time is spent working with the small business. Primary employment with a small business precludes full-time employment with another organization.</t>
  </si>
  <si>
    <t>The Small Business Innovation Research (SBIR) Program Phase II is seeking applications from previous Fiscal Year (FY) 2023 NIST SBIR Phase I award recipients in response to this NOFO for Phase II of their projects, with the aim of developing a viable product or service that will be introduced to the commercial marketplace.</t>
  </si>
  <si>
    <t>Humanities Collections and Reference Resources</t>
  </si>
  <si>
    <t>Nonprofits having a 501(c)(3) status with the IRS, other than institutions of higher education See C. Eligibility in the Notice of Funding Opportunities</t>
  </si>
  <si>
    <t>The National Endowment for the Humanities (NEH) Division of Preservation and Access is accepting applications for the Humanities Collections and Reference Resources program. The program supports projects that facilitate the discovery and use of humanities collections for research, teaching, and public engagement. Primary activities include digitizing and describing collections, as well as creating reference resources to synthesize humanities information.</t>
  </si>
  <si>
    <t>U.S. Ambassador's Special Self-Help Fund 2024</t>
  </si>
  <si>
    <t>DOS-MOZ</t>
  </si>
  <si>
    <t>U.S. Mission to Mozambique</t>
  </si>
  <si>
    <t>Others (see text field entitled "Additional Information on Eligibility" for clarification) The following organizations are eligible to apply:    Not-for-profit organizations that are registered in Mozambique, including civil society/non-governmental organizations.Established, registered grassroots community-based organizations (CBOs) and Faith Based Organizations (FBOs) registered in Mozambique. FOR-PROFIT, COMMERCIAL ENTITIES AND INDIVIDUALS ARE NOT ELIGIBLE TO APPLY.</t>
  </si>
  <si>
    <t xml:space="preserve">The Embassy of the United States of America in Mozambique welcomes the submission of proposals for funding under the Ambassadorâ€™s Special Self-Help (SSH) Fund. The SSH Fund assists Mozambican community organizations and groups to develop lasting, self-sustaining projects that benefit entire communities. 
Purpose of Small Grants: In Mozambique, the Ambassadorsâ€™ Special Self-Help (SSH) program began in 1988 and allows the Embassy to respond to local requests for small community-based development projects. The SSH program received $2 million in 2022 from African Regional Economic Support Funds to support projects throughout Africa. 
 Program Objectives:  
 Foster community self-reliance; 
 Have community participation and contribution â€“ volunteer time and labor, donated land, equipment and materials - and the U.S. contribution must be on a one-time basis only; 
  Improve basic economic or social conditions at the local community or village level; 
  Be viable and sustainable in terms of finance, personnel support, necessary expertise and services; 
 Respect environmental norms for small projects; the proposed activity will not adversely affect protected or other sensitive environmental areas nor jeopardize threatened and endangered species and their habitat; and 
 Not exceed twelve months in duration. 
Some examples of past SSH grants include:  
 Water Projects â€“ boreholes, irrigation, or water collection systems, storage tanks; 
 Health   Hygiene â€“ latrines at schools and clinics, community gardens; 
 Environmental Projects â€“ recycling, solar panel systems, organic fertilization production; 
 Education Projects â€“ classrooms, community libraries; and 
  Income Generating Projects â€“ oil press for nuts, maize milling facility, clothing production, carpentry tools, and brick making machines. 
Performance Indicators 
Organizations should monitor and report on performance indicators that are specific, measurable, achievable, reasonable, time bound, and relate to the objectives of the project. Please detail which indicators will be measured and how they will be measured. Whenever possible, performance indicators should list beneficiaries by gender.  
Example: An organization is awarded special self-help funds to implement a coffee growing program with the objective to train 200 community members and grow 2,000 coffee plants. This organization could outline the following performance indicators: number of plants grown, number of community members trained, number of women participants trained, and time to achieve these goals.  
Organizations awarded funds are responsible for quarterly reports on each performance indicator included in the grant agreement as well as analysis of progress or impediments to reach indicator targets.  
Applications must have the following format:  
 The proposal clearly addresses the goals and objectives of this funding opportunity 
 All documents are in English 
 All budgets are in U.S. dollars 
 All pages are numbered 
 All documents are formatted to A4 paper, and 
 All documents are single-spaced, Calibri - 14 point font, with a minimum of 1-inch margins. 
Complete applications must include the following required documents: 
 Mandatory application forms that must be completed and signed: 
*These forms are available electronically via Grants.gov. 
 SF-424 (Application for Federal Assistance â€“ Organizations) 
 SF-424A (Budget Information for Non-Construction Programs) 
 ï»¿SF424B (Assurances for Non-Construction programs) The SF-424B is required only for those applicants who have not registered in SAM.gov. 
Note: In order to view the documents, you must have Adobe Acrobat Reader (available for free at https://get.adobe.com/reader/) 
All grant information is available at: https://mz.usembassy.gov/nofo-us-ambassador-ssh-fund-2024/ 
</t>
  </si>
  <si>
    <t>OJJDP FY24 Mentoring for Youth Affected by Opioid and Other Substance Misuse</t>
  </si>
  <si>
    <t>Others (see text field entitled "Additional Information on Eligibility" for clarification) Category 1: Eligible organizations are those that have been in existence for at least 3 years at the time of application, and have been directly delivering a structured mentoring program model. Category 2: States; Federally recognized Tribal governments; National organizations (defined as organizations that have active affiliates or subawardees in at least 45 states); Organizations having statewide reach that provide mentoring services</t>
  </si>
  <si>
    <t>With this solicitation, OJJDP seeks to enhance and expand mentoring services for children and youth impacted by opioids and other substance misuse. This program supports mentoring programs to reduce juvenile delinquency, substance misuse, and problem and high-risk behaviors such as truancy.</t>
  </si>
  <si>
    <t>FY 2025 Critical Language Scholarship (CLS) Program</t>
  </si>
  <si>
    <t>Others (see text field entitled "Additional Information on Eligibility" for clarification) Please see announcement.</t>
  </si>
  <si>
    <t>The U.S. Study Abroad Branch (ECA/A/S/Q) in the Office of Global Educational Programs in the Bureau of Educational and Cultural Affairs (ECA), U.S. Department of State, is pleased to announce an open competition for proposals to administer the FY 2025 Critical Language Scholarship (CLS) Program. The CLS Program is a component of the U.S. Department of Stateâ€™s effort to increase the number of Americans who learn critical foreign languages in support of the U.S. foreign policy goals of bolstering national security; promoting U.S. competitiveness and economic prosperity; and building mutual understanding with critical regions of the world. The CLS Program started in 2006 as part of the interagency National Security Language Initiative. The award will fund approximately 522 U.S. undergraduate and graduate students to study critical languages through intensive overseas language institutes organized on behalf of ECA, in countries and locations where the target languages are widely spoken and through virtual programming. The award supports programming for all CLS alumni since the programâ€™s inception in 2006.Only one proposal will be considered by ECA from each applicant organization. In cases where more than one submission from an applicant appears in grants.gov, ECA will only consider the submission made closest in time to the NOFO deadline; that submission would constitute the one and only proposal ECA would review from that applicant.Please see the NOFO for additional information.</t>
  </si>
  <si>
    <t>State Digital Equity Capacity Grant Program (2024)</t>
  </si>
  <si>
    <t>DOC-NTIA</t>
  </si>
  <si>
    <t>National Telecommunications and Information Admini</t>
  </si>
  <si>
    <t>Others (see text field entitled "Additional Information on Eligibility" for clarification) Eligible entities include any State of the United States, the District of Columbia, or Puerto Rico that has completed a Digital Equity Plan that meets the requirements of 47 U.S.C.   U.S. Territories that submit a Digital Equity Plan consistent with the obligations of their State Digital Equity Planning Grant award; Native Entities, or a consortium of Native Entities, with the necessary authorizations.</t>
  </si>
  <si>
    <t>The State Digital Equity Capacity Grant Program is the second of three digital equity programs authorized by the Infrastructure Investment and Jobs Act of 2021, Division F, Title III, Public Law 117-58, 135 Stat. 429, 1209 (November 15, 2021) also known as the Digital Equity Act to promote digital inclusion activities and achieve digital equity. The Digital Equity Act consists of three funding programs: (1) the $60 million State Digital Equity Planning Grant Program; (2) the $1.44 billion State Digital Equity Capacity Grant Program; and (3) the $1.25 billion Competitive Grant Program. The State Digital Equity Capacity Grant Program will provide funds to States and U.S. Territories to implement the State Digital Equity Plans developed pursuant to the State Digital Equity Planning Grant Program. The State Digital Equity Capacity Grant Program NOFO also establishes a competitive program to make both State Digital Equity Planning Grant Program funds and State Digital Equity Capacity Grant Program funds available to Native Entities to carry out digital equity and inclusion activities consistent with the Digital Equity Act.</t>
  </si>
  <si>
    <t>Travel, Logistics, and Language Support for KM</t>
  </si>
  <si>
    <t>Others (see text field entitled "Additional Information on Eligibility" for clarification)  	U.S.-based non-profit/non-governmental organizations (NGOs);
 	U.S.-based educational institutions subject to section 501(c)(3) of the U.S. tax code or section 26 US 115 of the US 115 of the U.S. tax code;
 	Foreign-based non-profits/non-governmental organizations (NGOs);
 	Foreign-based educational institutions.</t>
  </si>
  <si>
    <t>To provide programmatic, logistical, travel, and administrative support to the capacity-building programs for the Office of Knowledge Management (KM).</t>
  </si>
  <si>
    <t>DRL Balkans Environmental Protection Program</t>
  </si>
  <si>
    <t>The U.S. Department of State, Bureau of Democracy, Human Rights, and Labor (DRL) announces an open competition for organizations interested in submitting applications for projects that support civil society in the Western Balkans to hold governments accountable and transparent by promoting greater public participation with a focus on environmental issues.</t>
  </si>
  <si>
    <t>Louis Stokes Alliances for Minority Participation</t>
  </si>
  <si>
    <t>Others (see text field entitled "Additional Information on Eligibility" for clarification) *Who May Submit Proposals: Proposals may only be submitted by the following:
  -
Alliance Development Grants (ADG)
_x000D_
 _x000D_
 Institutions of Higher Education (IHEs) - Two-and-four-year IHEs (including community colleges) accredited in and having a campus located in the US, acting on behalf of their faculty members. _x000D_
 _x000D_
Alliances: br / 
_x000D_
 _x000D_
 STEM Pathways Implementation-Only (SPIO):Institutions of Higher Education (IHEs) - Two-and-four-year IHEs (including community colleges) accredited in and having a campus located in the US, acting on behalf of their faculty members. _x000D_
 STEM Pathways Research Alliance (SPRA):Institutions of Higher Education (IHEs) - Two-and-four-year IHEs (including community colleges) accredited in and having a campus located in the US, acting on behalf of their faculty members. _x000D_
 Bridge to the Baccalaureate (B2B): B2B Alliances are composed entirely of two-year IHEs. The lead institution must award associate-level degrees in a STEM or STEM-related field. Associate-level degree-granting institutions that award four-year degrees in workforce development areas may be eligible to serve as the lead institution of a B2B alliance. Four-year institutions that award STEM baccalaureate degrees are ineligible to serve as lead institutions for B2B alliances but may be included as partner institutions for articulation purposes as a transfer pathway to four-year STEM degree programs. Funds are not budgeted for four-year institutions in B2B projects. Proposers should contact the LSAMP program staff for any questions on eligibility for B2B alliance support. br / _x000D_
 _x000D_
Bridges to STEM Graduate Degrees in National Priorities (BD-Master's) br / 
_x000D_
 _x000D_
 Master's Comprehensive IHEs as defined by Carnegie Classification only. Carnegie Classification website: https://carnegieclassifications.acenet.edu/. _x000D_
 _x000D_
Bridges to STEM Graduate Degrees in National Priorities (BD-Doctoral) br / 
_x000D_
 _x000D_
 Four-year IHEs accredited in and having a campus located in the US, acting on behalf of their faculty members. _x000D_
 _x000D_
STEM Networking Incentives and Engagement (NETWORKS) br / 
_x000D_
 _x000D_
 Institutions of Higher Education (IHEs) - Two-and-four-year IHEs (including community colleges) accredited in and having a campus located in the US, acting on behalf of their faculty members. _x000D_
 Non-profit, non-academic organizations: Independent museums, observatories research laboratory professional societies and similar organizations located in the U. S. that are directly associated with educational or research activities. _x000D_
 For-profit organizations: U.S.-based commercial organizations, including small businesses, with strong capabilities in scientific or engineering research or education and a passion for innovation. _x000D_
 _x000D_
NETWORKS projects are limited to four collaborating organizations per proposal.
*Who May Serve as PI:
Alliance Development Grant (ADG) Proposals
_x000D_
The PI for ADG proposals must be an upper-level administrator/cabinet-level officialfrom the executive leadership (i.e., Provost, Dean, VP of Academic Affairs, etc.) of the institution. A deviation from this requirement for PI designation requires a full justification. Faculty may be listed as Co-PIs.
_x000D_
Alliances: Bridge to the Baccalaureate (B2B), STEM Pathways Implementation-Only (SPIO) and STEM Pathways Research Alliance (SPRA) br / 
_x000D_
The PI for alliances (B2B, SPIO, and SPRA) should be a cabinet-level official from the executive leadership (i.e., Provost, Dean, VP of Academic Affairs, etc.) of the institution and a member of the alliance governing board. The alliance governing board is a body of upper-level administrators from each partner institution that oversees the alliance. A deviation from this requirement for PI designation requires a full justification. Individuals from partner institutions must be designated as co-PIs on the proposal.
_x000D_
To ensure production of new STEM education</t>
  </si>
  <si>
    <t>The Louis Stokes Alliances for Minority Participation (LSAMP) program invests in the Nation's colleges and universities to aid student success to create a new generation of STEM discoverers for the national STEM enterprise. The program takes a comprehensive approach to the STEM Learning Ecosystem to impact STEM student development and retention.
_x000D_
LSAMP is an alliance-based program, whereby a group of institutions of higher education (IHEs) work together to diversify the nation's science, technology, engineering, and mathematics (STEM) workforce by increasing the number of STEM baccalaureate and graduate degrees awarded to persons from LSAMP populations. LSAMP populations are defined as persons from groups underrepresented in the STEM enterprise: Blacks and African-Americans, Hispanic and Latino Americans, American Indians, Alaska Natives, Native Hawaiians, and Pacific Islanders. The LSAMP program provides funding to alliances that implement comprehensive, evidence-based, innovative, and sustained strategies that ultimately result in the graduation of well-prepared, highly competitive students from LSAMP populations who pursue graduate studies or careers in STEM, while also supporting knowledge generation, knowledge utilization, assessment of program impacts, dissemination activities and dissemination of scholarly research into the field.
_x000D_
Projects supported by the LSAMP program include:
_x000D_
--Alliance Development Grants (ADG) support the conceptualization and development of new B2B and new SPIO alliances. (New)
_x000D_
--Bridge-to-the-Baccalaureate (B2B) alliances facilitate the successful transfer of students from LSAMP populations to four-year institutions in pursuit of STEM baccalaureate degrees.
_x000D_
--STEM Pathways Implementation-Only (SPIO) alliances are designed for new and reconstituted alliances. These projects focus on building and strengthening strategies and approaches to assist Institutions of Higher Education (IHEs) increase STEM baccalaureate degrees to LSAMP populations and facilitate entry into STEM graduate degree programs.
_x000D_
--STEM Pathways Research Alliances (SPRA) are designed for well-established alliances. These projects serve as models of excellence in STEM broadening participation by (1) steadily increasing STEM baccalaureate degrees to LSAMP populations and facilitating entry into STEM graduate degree programs; (2) producing and disseminating new scholarly research on the broadening participation of LSAMP populations (or underrepresented and underserved populations in STEM disciplines and the nation's STEM workforce) and, (3) holistically assess the state of institutionalization and sustainability of the alliance.
_x000D_
--Bridge to STEM Graduate Degrees in National Priorities (BD-Master's) projects support cohorts of six graduate students pursuing a M. S. degree in STEM national priority areas, providing financial support (stipends and cost of education) and support to help develop and maintain academic and research skills that enable participants to successfully persist in STEM graduate degree programs at Master's comprehensive-degree producing institutions only. (New)
_x000D_
--Bridge to STEM Graduate Degrees in National Priorities (BD-Doctoral) projects support cohorts of twelve graduate students pursuing a Ph.D. degree in STEM national priority areas, providing financial support (stipends and cost of education) and support to help develop and maintain academic and research skills that enable participants to successfully persist in STEM doctoral degree programs.
_x000D_
--STEM Networking Incentives and Engagement (NETWORKS) projects provide support to incentivize the creation and participation of LSAMP populations in STEM networks. (New)</t>
  </si>
  <si>
    <t>U.S. Embassy Tbilisi PDS Cultural Small Grants Program</t>
  </si>
  <si>
    <t>Others (see text field entitled "Additional Information on Eligibility" for clarification) The Public Affairs Section encourages applications from organizations within the U.S. and Georgia that are: 	Registered not-for-profit organizations, including think tanks and civil society/non-governmental organizations with programming experience. 	Non-profit or governmental educational institutions. 	Governmental Institutions. 	Legal Entities of Public Law.</t>
  </si>
  <si>
    <t xml:space="preserve">A. PROGRAM DESCRIPTION The U.S. Embassy Tbilisi Public Diplomacy Section (PDS) of the U.S. Department of State is pleased to announce that funding is available through its Public Diplomacy Cultural Small Grants Program. This is an Annual Program Statement, outlining our funding priorities, the strategic themes we focus on, and the procedures for submitting requests for funding. Please carefully follow all instructions below. Purpose of Small Grants: PDS Tbilisi invites proposals for programs that strengthen cultural ties between the U.S. and Georgia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Examples of PDS Cultural Small Grants Program programs include, but are not limited to:Â· Academic and professional lectures, seminars, and speaker programs.Â· Artistic and cultural workshops, joint performances, and exhibitions.Â· Cultural heritage conservation and preservation programs.Â· Professional and academic exchanges and programs.  Priority Program Areas:Â· Strengthening democracy, culture, institutions, values, and civil society through arts, particularly with a U.S. connection, in the regions of Georgia.Â· Community-based cultural (heritage) preservation projects, or projects to support community engagement around or with Georgiaâ€™s cultural heritage.Â· International Festivals held in Georgia to foster closer U.S.- Georgian ties and share U.S. culture. Sporting events and exchanges to foster closer U.S.- Georgian ties through sports, promote inclusive sports, foster healthy living, or advance other shared priorities. Participants and Audiences:The U.S. Embassy seeks geographically and demographically diverse audiences within the country and prioritizes proposals with a significant programming component outside of the capital. The Embassy encourages projects to focus on engaging youth, women and girls, seniors, people with disabilities, regions with ethnic and religious minority communities, Internally Displaced Persons (IDPs), and other vulnerable communities.  The following types of programs are not eligible for funding:Â· Programs relating to partisan political activity;Â· Charitable or development activities;Â· Construction programs;Â· Programs that support specific religious activities;Â· Fund-raising campaigns;Â· Lobbying for specific legislation or programs;Â· Scientific research;Â· Programs intended primarily for the growth or institutional development of the organization; orÂ· Programs that duplicate existing programs. Authorizing legislation, type, and year of funding:19.040 Smith-Mundt, Public Diplomacy Funding, FY24 B. FEDERAL AWARD INFORMATION  Length of performance period: up to 12 months Number of awards anticipated: 15 awards (dependent on amounts)Award amounts: awards may range from a minimum of $5,000 to a maximum of $24,000Total available funding: $250,000Type of Funding: Fiscal Year 2024 Public Diplomacy FundingAnticipated program start date: four to six months after submission deadline This notice is subject to availability of funding. Funding Instrument Type: Grant, Fixed Amount Award, or Cooperative agreement. Cooperative agreements are different from grants in that PDS staff are more actively involved in the grant implementation. Program Performance Period: Proposed programs should be completed in 12 months or less. PDS will entertain applications for continuation grants funded under these awards beyond the initial budget period on a non-competitive basis subject to the availability of funds, satisfactory progress of the program, and a determination that continued funding would be in the best interest of the U.S. Department of State. C. ELIGILIBITY INFORMATION Eligible Applicants The Public Affairs Section encourages applications from organizations within the U.S. and Georgia that are: Registered not-for-profit organizations, including think tanks and civil society/non-governmental organizations with programming experience.Â· Non-profit or governmental educational institutions. Governmental Institutions.Â· Legal Entities of Public Law. For-profit or commercial entities/educational institutions are not eligible to apply. Individuals are not eligible to apply. </t>
  </si>
  <si>
    <t>Economic Growth through the Promotion of Cultural Heritage</t>
  </si>
  <si>
    <t>Others (see text field entitled "Additional Information on Eligibility" for clarification)  	Registered not-for-profit organizations, including think tanks and civil society/non-governmental organizations with programming experience._x000D_
 	Non-profit or governmental educational institutions._x000D_
 	Governmental Institutions/Municipalities_x000D_
 	Legal Entities of Public Law.</t>
  </si>
  <si>
    <t xml:space="preserve">A. PROGRAM DESCRIPTION
 The U.S. Embassy Tbilisi Public Diplomacy Section (PDS) is pleased to announce an open competition for organizations to submit applications through its Democracy Commission Small Grants Program - Economic Growth through the Promotion of Cultural Heritage. This is an Annual Program Statement, outlining our funding priorities, the strategic themes we focus on, and the procedures for submitting requests for funding. Please carefully follow all instructions below.
Program Objectives: 
The purpose of the Democracy Commission Small Grants Program -- Economic Growth through the Promotion of Cultural Heritage is to award grants for specific projects that strengthen cultural ties between the U.S. and Georgia, foster economic growth through the promotion of cultural heritage, and develop strategies for building tourism in the community.
Priority Program Areas:
Â· Support tourism and economic development in ethnic and religious minority areas, border areas, and other vulnerable regions in Georgia
Â· Increase awareness of and/or access to cultural heritage sites or locations of cultural importance
Â· Promote education initiatives for local audiences
Â· Community-led cultural heritage revitalization projects 
Â· Renovating and/or setting up tourist information centers
Â· Improving access to cultural heritage sites, including ramps for people with special needs 
Â· Cleaning, fixing, and maintaining pathways, installing signs, improving overall accessibility 
Participants and Audiences:
The U.S. Embassy seeks geographically and demographically diverse audiences within the country and prioritizes proposals with a significant programming component outside of the capital. Priority will be given to projects in ethnic minority or border regions.
The following types of programs are not eligible for funding:
Â· Restoration/preservation of monuments 
Â· Programs relating to partisan political activity;
Â· Charitable or development activities;
Â· Construction programs;
Â· Programs that support specific religious activities;
Â· Fund-raising campaigns;
Â· Lobbying for specific legislation or programs;
Â· Scientific research;
Â· Programs intended primarily for the growth or institutional development of the organization; or
Â· Programs that duplicate existing programs.
Authorizing legislation, type, and year of funding:
19.900 AEECA/ESF PD Programs FY24 
B. FEDERAL AWARD INFORMATION
Length of performance period: up to 12 months 
Number of awards anticipated: 4 awards (dependent on amounts)
Award amounts: $50,000
Total available funding: $158,000
Type of Funding: Fiscal Year 2024 19.900 AEECA/ESF PD Programs
Anticipated program start date: four to six months after submission deadline
Funding Instrument Type: Grant, Fixed Amount Award, or Cooperative agreement. Cooperative agreements are different from grants in that PDS staff are more actively involved in the grant implementation.
Program Performance Period: Proposed programs should be completed in 12 months or less. 
PDS will entertain applications for continuation grants funded under these awards beyond the initial budget period on a non-competitive basis subject to the availability of funds, satisfactory progress of the program, and a determination that continued funding would be in the best interest of the U.S. Department of State.
C. ELIGIBILITY INFORMATION
1. Eligible Applicants
The Public Affairs Section encourages applications from organizations that are:
Â· Registered not-for-profit organizations, including think tanks and civil society/non-governmental organizations with programming experience.
Â· Non-profit or governmental educational institutions.
 Governmental Institutions/Municipalities
Â· Legal Entities of Public Law.
For-profit or commercial entities/educational institutions are not eligible to apply. 
Individuals are not eligible to apply. 
 </t>
  </si>
  <si>
    <t>GH Social and Behavior Change (SBC) Activity</t>
  </si>
  <si>
    <t>Others (see text field entitled "Additional Information on Eligibility" for clarification) U.S. and non-U.S. public, private, for-profit, and nonprofit organizations, as well as institutions of higher education, public international organizations, and non-governmental organizations, are eligible to submit applications for this RFA. Further, the organization must be a legally recognized, organizational entity under applicable law, not otherwise restricted by statute, regulation, Agency policy, or administrative determination (i.e., suspension and debarment) from receiving assistance, and legally registered in a country that is not a prohibited source per ADS 310.</t>
  </si>
  <si>
    <t>The United States Agency for International Development (USAID) plans to invest in a five-year cooperative agreement titled GH Social and Behavior Change (SBC) Activity to support countries in achieving desired improvements in health and development outcomes.The GH SBC Activity will build upon current USAID investments in SBC research and programming, including both global and bilateral projects, to guide integration of SBC evidence and theory in development programming, support generation and use of new learning, strengthen local technical and organizational capacity, and drive local leadership of SBC programming for better, broader, and more sustainable results. The project will fulfill a global leadership function within SBC, working through new and existing partnerships to create opportunities for locally-driven, innovative, and cost-effective SBC programs; systematic integration of SBC best practices within public and private health systems; and generating, synthesizing, and catalyzing the application of evidence-based and theory-informed SBC in diverse program settings to accelerate achievement of global health and development goals.The strategic objective of the project is to increase implementation of theory-informed, evidence-based, locally-led SBC programming. While focused primarily on health, the project may address SBC needs in other sectors, with particular attention to areas of potential complementarity such as environmental conservation, agriculture, food security, and nutrition. Within the health sector, the project will maintain a substantive but non-exclusive focus on family planning, reproductive health (FP/RH) and reproductive empowerment; malaria; and maternal, newborn, and child health (MNCH), with attention to emerging pandemic threats and other infectious diseases. Considerations of USAID priorities such as localization, gender integration, youth engagement/integration, health systems strengthening, the inclusion of LGBTQI+ people, the inclusion of people with physical and cognitive disabilities, engaging the voices, skills, and experiences of allâ€”including marginalized and underrepresented groups such as racial, ethnic, and Indigenous communitiesâ€” and climate change, will be a focus across the project.Please see the Full GH Social and Behavior Change (SBC) Activity RFA under the "Related Documents" tab.</t>
  </si>
  <si>
    <t>Strategic Trade Facilitation in India: Promoting U.S.-India Technology Partnerships</t>
  </si>
  <si>
    <t>Diabetes Research Centers (P30 Clinical Trial Optional)</t>
  </si>
  <si>
    <t>Public housing authorities/Indian housing authorities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
Non-domestic (non-U.S.) components of U.S. Organizations are not eligible to apply.
Foreign components, as defined in the NIH Grants Policy Statement, are allowed.</t>
  </si>
  <si>
    <t>This Notice of Funding Opportunity (NOFO) invites applications for Diabetes Research Centers (DRCs) that are designed to support and enhance the national research effort in diabetes, its complications, and related endocrine and metabolic diseases. The purpose of this Centers program is to bring together basic and clinical investigators to enhance communication, multidisciplinary collaboration, and effectiveness of ongoing research in Diabetes Research Center topic areas. By providing shared access to specialized technical resources (research cores) and supporting a Pilot and Feasibility Program (P and F), DRCs are intended to create an environment that provides the capability for accomplishments greater than those that would be possible by individual research project grant support alone. New Center programs that bring in diverse perspectives, propose unique scientific themes, or provide innovative resources are encouraged. Emphasis will be placed on Center programs that propose enhanced synergies with other NIDDK-funded programs as well as providing a rich mentoring environment for future diabetes researchers. 
This NOFO requires a Plan for Enhancing Diverse Perspectives (PEDP), which will be assessed as part of the scientific and technical peer review evaluation. Applications that fail to include a PEDP will be considered incomplete and will be withdrawn. Applicants are strongly encouraged to read the NOFO instructions carefully and view the available PEDP guidance material.</t>
  </si>
  <si>
    <t>Tools and resources to understand the vascular pathophysiology of in vivo neuroimaging findings in ARIA (U24 - Clinical Trials Not Allowed)</t>
  </si>
  <si>
    <t>Others (see text field entitled "Additional Information on Eligibility" for clarification)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</si>
  <si>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The purpose of this Alzheimers Disease-Related Dementia (ADRD) initiative is to promote the development and distribution of innovative technologies, methods, protocols, and biomedical materials that enhance combined human neuropathology and neuroimaging research with data aimed at understanding the underlying pathophysiology of in vivo imaging results typically associated with vascular contributions to cognitive impairment and dementia (VCID) in TBI-related dementia and other ADRD diagnoses.
Resources developed under this FOA must follow open data sharing practices and are intended to expand the broader research communitys capacity to perform research aimed at neuropathologically-informed understanding of the vascular pathophysiology of clinically-relevant, in vivo neuroimaging findings.</t>
  </si>
  <si>
    <t>Accelerating Federal Technology Transfer (AFTT) Program</t>
  </si>
  <si>
    <t>Others (see text field entitled "Additional Information on Eligibility" for clarification) Eligibility for the program listed in this NOFO is open to all non-federal entities. Eligible applicants include, but are not limited to, institutions of higher education, non-profit organizations, for-profit organizations, state and local governments, Indian tribes, hospitals, and foreign organizations. Please note that individuals and unincorporated sole proprietors are not considered  non-federal entities  and are not eligible to apply under this NOFO. Although federal entities are not eligible to receive funding under this NOFO, they may participate as unfunded collaborators.</t>
  </si>
  <si>
    <t xml:space="preserve">The NISTâ€™s Accelerating Federal Technology Transfer (AFTT) Program is seeking applications from eligible applicants for activities to help promote, educate, and facilitate federal technology transfer. Under the AFTT Program, members of the Federal Laboratory Consortiumâ€™s (FLC) Executive Board, including NIST, will collaborate with the awardee on the development of outreach and educational programs, tools, and best practices that will enhance the ability of the academic and private sectors to engage with Federal laboratories in technology transfer and research commercialization. Specifically, the awardee will collaborate with the FLCâ€™s Executive Board, including NIST, in the areas of technology transfer and research commercialization by: developing the necessary tools and services to promote the utilization of Federal intellectual property, user facilities, and other R D resources by non-federal partners; creating a suitable education and training infrastructure in technology transfer for the relevant stakeholders; and engaging industry, academic, and state and local government communities to facilitate access to federal R D collaborations and federal technology transfer opportunities on both a regional and a national level. </t>
  </si>
  <si>
    <t>FY24 Addressing Gaps in State and Regional Accreditation -Community Policing Development Solicitation</t>
  </si>
  <si>
    <t>Others (see text field entitled "Additional Information on Eligibility" for clarification) Open to all public governmental agencies, federally recognized Indian tribes, nonprofit organizations, institutions of higher education, or community groups.</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</si>
  <si>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is pleased to announce that it is seeking applications for funding for the FY24 CPD Accreditation: Addressing Gaps in State and Regional Accreditation program. Community Policing Development (CPD) funds are used to develop the capacity of law enforcement to implement community policing strategies by providing guidance on promising practices through the development and testing of innovative strategies; building knowledge about effective practices and outcomes; and supporting new, creative approaches to preventing crime and promoting safe communities.   FY24 Addressing Gaps in State and Regional Accreditation CPD program funds will support the establishment of new accreditation entities in states and regions that currently do not have an accreditation program.</t>
  </si>
  <si>
    <t>FY24 Enhancing Existing Law Enforcement Accreditation Entities Community Policing Development Solicitation</t>
  </si>
  <si>
    <t>Others (see text field entitled "Additional Information on Eligibility" for clarification) Open to all existing law enforcement accreditation entities.</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</si>
  <si>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is pleased to announce that it is seeking applications for funding for the FY24 CPD Accreditation: Enhancing Existing Law Enforcement Accreditation Entities program. Community Policing Development (CPD)  funds are used to develop the capacity of law enforcement to implement community policing strategies by providing guidance on promising practices through the development and testing of innovative strategies; building knowledge about effective practices and outcomes; and supporting new, creative approaches to preventing crime and promoting safe communities. FY24 Enhancing Existing Law Enforcement Accreditation Entities CPD program funds will support existing law enforcement accreditation bodies in their mission to engage law enforcement agencies in the accreditation process.</t>
  </si>
  <si>
    <t>FY24 Supporting Law Enforcement Agencies Seeking Accreditation - Community Policing Development Solicitation</t>
  </si>
  <si>
    <t>Others (see text field entitled "Additional Information on Eligibility" for clarification) Open to all state, local, tribal, and territorial law enforcement agencies.</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</si>
  <si>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COPS Office is pleased to announce that it is seeking applications for funding for the FY24 CPD Accreditation: Supporting Law Enforcement Agencies in Seeking Accreditation program. Community Policing Development (CPD) funds are used to develop the capacity of law enforcement to implement community policing strategies by providing guidance on promising practices through the development and testing of innovative strategies; building knowledge about effective practices and outcomes; and supporting new, creative approaches to preventing crime and promoting safe communities.  FY24 Supporting Law Enforcement Agencies in Seeking Accreditation program will grant CPD funding directly to state, local, tribal, and territorial law enforcement agencies to support costs related to obtaining law enforcement accreditation from an existing accreditation entity.</t>
  </si>
  <si>
    <t>DoD Ovarian Cancer Ovarian Cancer Academy   Early-Career Investigator Award</t>
  </si>
  <si>
    <t>Initially created in FY09, the OCRP Ovarian Cancer Academy (OCA) is a unique, interactive virtual academy providing intensive mentoring, national networking, collaborations, and a peer group for junior faculty. The overarching goal of the OCA is to develop successful, highly productive ovarian cancer researchers in a collaborative research and career development environment.The OCA is a virtual career development and research training platform that consists of Early-Career Investigators (ECIs), their Designated Mentors from different institutions, and an Academy Dean and Assistant Dean. The OCA-ECI Award is not a traditional career development award; the ECI is expected to participate in monthly webinars and annual workshops and to communicate and collaborate with other members of the Academy (other ECIs, Mentors, the Dean and Assistant Dean) as well as with the advocacy community. Since its inception, the Academyâ€™s ECIs have presented at and chaired sessions for ovarian cancer-specific symposia and served on symposia review committees. They have also served as peer reviewers for the Department of Defense (DOD) OCRP and other funding agencies.</t>
  </si>
  <si>
    <t>Behavioral Interventions Scholars</t>
  </si>
  <si>
    <t>County governments Under section 1110(a)(1)(A) of the Social Security Act, eligibility is open to  ...States and public and other organizations and agencies for paying part of the cost of research or demonstration projects such as those...which will help improve the administration and effectiveness of programs carried on or assisted under the Social Security Act and programs related thereto... . Eligible U.S. entities are the universities at which a graduate student scholar is enrolled.Applicants will be required to submit a letter of support from the graduate student's mentor, acting as the project's Principal Investigator, that approves the application and provides a description of how the mentor will regularly monitor the student's work. Applications that do not include this letter will be disqualified from review and funding.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</si>
  <si>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Administration for Children and Families (ACF), Office of Planning, Research, and Evaluation (OPRE) anticipates soliciting applications for Behavioral Interventions Scholars awards to support dissertation research by advanced graduate students who are using approaches grounded in behavioral science or behavioral economics to examine research questions of relevance to social services programs and policies. These awards are meant to build capacity in the research field to apply a behavioral science or behavioral economics lens to issues facing families with low incomes in the United States, and to foster faculty mentorship of high-quality doctoral students. Applicants are required to demonstrate how their research is grounded in behavioral economics/behavioral science and the applicability of their research to practices or policies serving children, adults, and families with low incomes, especially those that seek to improve their well-being. For information about OPRE, please go to https://www.acf.hhs.gov/opre. For information about related work ongoing within OPRE, please go to https://www.acf.hhs.gov/opre/behavioral-interventions-to-advance-self-sufficiency-bias-research-portfolio.SAM .gov System Alert - Entity Validation Delays:All applicants must be registered at SAM.gov and establish a Unique Entity Identifier. Due to high demand, SAM.gov is experiencing a considerable delay in processing entity legal business name and address validation tickets. As needed, please start the process early to avoid interruptions in application submissions. You can find SAM resources related to this process here - https://www.fsd.gov/gsafsd_sp?id=kb_article_view&amp;sysparm_article=KB0058422&amp;sys_kb_id=7bb8810ddba05990060d5425f3961912&amp;spa=1.  Interested in this announcement? Create an account at Grants.gov and subscribe to this forecast to receive notifications of updates and publication.</t>
  </si>
  <si>
    <t>Limited Interaction Targeted Epidemiology: Epidemiology of Transmission and Treatment of HIV Among People Who Are at Increased Risk for HIV Infection in Latin America (LITE-LA) (UG3/UH3 Clinical Trial Optional)</t>
  </si>
  <si>
    <t>The purpose of this notice of funding opportunity (NOFO) is to support investigators who will form large, electronically-generated cohorts in Latin America of HIV-negative men who have sex with men (MSM), transgender women (TGW), people who inject drugs (PWID), and/or female sex-workers and follow them to study the epidemiology of HIV incidence. Continued follow-up of those persons who acquire HIV will be required to study the epidemiology of viral suppression. Comparisons of participants by seroconverstion status will provide information on geographic and socially defined areas of high HIV incidence as well as on both personal and structural vulnerabilities to HIV infection. Among participants who seroconvert, comparisons of those becoming rapidly engaged in care and who reach non-detectable HIV levels to those whose virus remains detectable will inform on the treatment of HIV in Latin American countries. This NOFO will allow digital trials to determine optimal study approaches, or to pilot evidence-based digital (mHealth and online) HIV prevention and treatment interventions to both reduce HIV incidence and improve treatment in the most vulnerable populations.</t>
  </si>
  <si>
    <t>Interaction between ARVs and Hormones in HIV and Coinfections (R01 Clinical Trial Optional)</t>
  </si>
  <si>
    <t>Public and State controlled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</si>
  <si>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Notice of Funding Opportunity (NOFO) is to support research to identify and characterize the interaction between hormone therapy and antiretroviral drugs (ARVs) used for treatment and prevention of HIV and co-infections.</t>
  </si>
  <si>
    <t>Embassy Belgrade - University Partnership Program (FY2024)</t>
  </si>
  <si>
    <t>DOS-SRB</t>
  </si>
  <si>
    <t>U.S. Mission to Serbia</t>
  </si>
  <si>
    <t>Others (see text field entitled "Additional Information on Eligibility" for clarification) The following entities, from Serbia or from the United States, are eligible to apply:a.	Public universities in the Republic of Serbia;b.	Accredited U.S. universities (public or private);c.	Non-profit educational foundations legally registered in the United States with the demonstrated capacity to fulfill the objectives outlined in this NOFO, i.e., to set up one or more university partnership programs</t>
  </si>
  <si>
    <t xml:space="preserve">This notice is subject to availability of funding. 
A. PROGRAM DESCRIPTION 
 U.S. Embassy Belgrade of the U.S. Department of State announces an open competition for organizations to submit applications for the University Partnership Program. Please follow all instructions below.  
Priority Region:  
Program Objectives:  
The U.S. Embassy works to assist the Serbian people to strengthen democracy, rule of law, and the protection of human rights; help fight brain drain and advance the countryâ€™s economic development; promote regional stability and cooperation; cooperate with international partners to combat crime, terrorism, human trafficking, and other global challenges; and make further progress towards Serbiaâ€™s accession into the European Union. We also strive to explain U.S. policies, culture, society, and values to Serbian audiences and deepen ties between our two countries.  
University Partnership proposals should support these goals while facilitating lasting connections between Serbian and American institutions of higher education.  
Proposals can involve in-person and/or virtual exchanges for students, faculty, and/or administrators as well as any of the following activities: curriculum development; needs assessments; joint online courses; joint research projects; development of a joint degree program; development of a study abroad program; sharing of best teaching practices and instructional methods; support for participation in academic conferences or student competitions (e.g., moot court, Model U.S. Congress, Model United Nations); establishing an American Studies course or academic program; setting up a center focused on American Studies; and/or establishing or strengthening a career development center or a research and development center. 
Participants and Audiences: 
Participants or primary audiences for university partnership proposals should be Serbian and American students, professors/academics, and/or administrators.  
Depending on focus, projects may have secondary audiences or beneficiaries including media, civil society organizations or wider professional audiences, which you may note in the proposal.  
If your project idea might involve citizens or any other countries, check D.7 in the full text of the NOFO to understand restrictions on funding. 
B. FEDERAL AWARD INFORMATION 
Length of performance period: 6 to 30 months (including the evaluation)  
Number of awards anticipated: 1-5 awards (dependent on amounts) 
Award amounts: awards may range from a minimum of $25,000 to a maximum of $300,000. For returning applicants to the University Partnership Program, (previous grantees seeking additional support) awards will be capped at $75,000. 
Total available funding: $450,000 
Type of Funding: FY23/24 Economic Support Funds under the Foreign Assistance Act. 
Anticipated program start date: Flexible, but not earlier than September 1, 2024.  
Cost Sharing or Matching: Cost sharing is allowed but not required and will not impact funding decisions. While filling out the application, you will be required to tell us whether you are also receiving funding from other donors for your project. Please be aware, however, that you must be able to carry out all the activities described in your application with the funding you receive, even if the contributions from other donors or other funding sources fail to materialize.  
C. APPLICATION AND SUBMISSION INFORMATION  
Requesting the Application Package: Application forms required below are available at https://rs.usembassy.gov/grants-programs and in the Related Documents Tab. 
Content and Form of Application Submission: Please follow all instructions below carefully. Proposals that do not meet the requirements of this announcement or fail to comply with the stated requirements will be ineligible.  
Content of Application 
Please ensure: 
Â· The proposal clearly addresses the goals and objectives of this funding opportunity 
Â· All documents are in English 
Â· All budgets are in U.S. dollars 
Â· All pages are numbered 
Â· All documents are formatted to 8 Â½ x 11 paper, and 
Â· All Microsoft Word documents are single-spaced, 12 point Calibri font, with a minimum of 1-inch margins.  
The following documents are required:  
1. Mandatory application forms 
Â· (Application for Federal Assistance â€“ organizations) 
Â· (Budget Information for Non-Construction programs) 
Â· (Assurances for Non-Construction programs) (note: the SF-424B is only required for individuals and for organizations not registered in SAM.gov)  
2. Grant Application Form for FY2024 (Fiscal year 2024). Note: Detailed instructions for filling out the grant application are included with the form.   
3. Budget Justification Narrative (Excel Spreadsheet): After filling out the SF-424A Budget (above), use the Excel spreadsheet template to describe and explain each of the budget expenses in detail. See section H. Other Information: Guidelines for Budget Submissions below for further information.  
4. Attachments: 
Â· 1-page CV or resume of key personnel who are proposed for the program 
Â· Letters of support from program partners describing the roles and responsibilities of each partner 
Â· If your organization has a Negotiated Indirect Cost Rate Agreement (NICRA) and includes NICRA charges in the budget, your latest NICRA should be included as a PDF file.  
Â· Official permission letters, if required for program activities. 
Required Registrations: 
All organizations, whether based in the United States or in another country, must have a Unique Entity Identifier (UEI) and an active registration with the SAM.gov. 
To be eligible for consideration, every Serbia-based applicant organization must also be registered in the territory of the Republic of Serbia with the Agencija za privredne registre (APR), or the relevant court.  
Submission Dates and Times: Applications are due no later than May 15, 2024.  
Funding Restrictions:  
You may NOT apply for a grant from PDS if your project: 
Â· Involves partisan political activity; 
Â· Involves charitable activities and/or the distribution of humanitarian aid; 
Â· Is a fundraising campaign; 
Â· Is commercial in nature, i.e., you or a project partner are making money from this project, or the activity supports a current or future business or entrepreneurial venture; 
Â· Involves the provision of health care services, childcare, food subsidies, or other social services to populations. 
This funding opportunity aims to support specific projects with objectives which can be achieved within a set timeframe. We will not accept applications which are aimed more broadly at supporting your organizationâ€™s usual or typical daily activities and operations. Those will be deemed technically ineligible and will not be considered for funding by the review committee. 
Other Submission Requirements: All application materials must be submitted by email to BelgradeUniP@state.gov  
IF PDS does not receive a complete project proposal at the above address by the deadline, it will be considered technically ineligible and will not be considered for funding. 
Review and Selection Process: A review committee will evaluate all eligible applications. You may be asked to submit additional information and/or a revised budget. Please also be aware that, depending on the availability of funding, PDS might be able to fund only part of the budget that you have requested.  
Anticipated Announcement and Federal Award Dates: PDS anticipates that final funding decisions will be made by June 30, 2024. 
D. FEDERAL AWARDING AGENCY CONTACTS 
If you have any questions about the grant application process, please contact: BelgradeUniP@state.gov. 
The full text of the NOFO and the required documents are available at https://rs.usembassy.gov/grants-programs/ and in the Related Documents tab. 
Information Session. PDS  will hold a virtual information session on April 17, 2024, at 15:00 (3 pm) Central European time to discuss this funding opportunity and to answer questions from potential applicants. Please contact PDS  at BelgradeUniP@state.gov for details.  
</t>
  </si>
  <si>
    <t>CLEAR Corruption from Montenegro</t>
  </si>
  <si>
    <t>DOS-MNE</t>
  </si>
  <si>
    <t>U.S. Mission to Montenegro</t>
  </si>
  <si>
    <t>Others (see text field entitled "Additional Information on Eligibility" for clarification) Montenegrin not-for-profit organizations, including think tanks, civil society/non-governmental organizations, professional associations, and other organizations that have a proven track record of trustworthiness.</t>
  </si>
  <si>
    <t>The mission of the State Departmentâ€™s Bureau of International Narcotics and Law Enforcement Affairs (INL) is to keep Americans safe by countering crime, illegal drugs, and instability abroad. The Bureau of International Narcotics and Law Enforcement Affairs (INL) is at the forefront of responding to these challenges, uniting these overarching themes through our foreign assistance programs, diplomatic engagement, and policy coordination. INLâ€™s foreign assistance programs are essential to advancing U.S. policy objectives. INL programs advance the following strategic goals: Disrupt and reduce illicit drug markets and transnational crime to protect American lives and U.S. national security.2. Combat corruption and illicit financing to strengthen democratic institutions, advance rule of law, and reduce transnational crime and its enablers.3. Strengthen criminal justice systems to support stable, rights-respecting partners.</t>
  </si>
  <si>
    <t>Evaluating the Movement Patterns and Survival of Juvenile Everglade Snail Kites (Rostrahamus sociabilis plumbeus) at Lake Okeechobee</t>
  </si>
  <si>
    <t>The Everglade snail kite is a federally listed endangered species. The principal threat to the snail kite is the loss, fragmentation, and degradation of wetlands in central and southern Florida resulting from urbanized and agricultural development and alterations to wetland hydrology through ditching, impoundment, and water level management. The Central and Southern Florida (C SF) Project, which was originally designed and constructed to serve flood control and water supply purposes, has disrupted the volume, timing, direction, and velocity of freshwater flow and has resulted in habitat loss and degradation in the Water Conservation Areas (WCAs) and other portions of the historic Everglades. Drainage of Floridaâ€™s interior wetlands has reduced the extent and quality of habitat for both the apple snail and the snail kite.  The fragmentation or loss of wetland habitat significantly limits the snail kitesâ€™ ability to be resilient to disturbance events such as various climatic events. As wetland habitats become more fragmented, either through destruction or as the result of hydrologic management, their dispersal distances become greater, putting increased stress on dispersing kites that may not be able to replenish energy supplies.  This agreement represents an opportunity to enter into a cooperative agreement for monitoring juvenile snail kite movement and survival patterns on Lake Okeechobee. Monitoring will focus on Lake Okeechobee, because this is a critical wetland habitat for snail kites and helps link populations in the Kissimmee Chain-of-Lakes to the population in the Everglades. The purpose of this research is to understand how current water management operational plans for lake stage and releases at structures and resulting changes in hydrology affect snail kite reproductive success, survival, demography, and population. This project is being conducted to meet a requirement of a Biological Opinion (BO) from the U.S. Fish and Wildlife Service (USFWS) in association with the current regulation schedule for Lake Okeechobee (e.g. 2008 LORS and the anticipated Lake Okeechobee System Operating Manual (LOSOM)) and the Endangered Species Act (ESA). Monitoring and reporting requirements of the BO identify the need to tag up to twenty near fledgling aged snail kites (i.e., 24 days old) with the best proven tags (radio, satellite, or cell) and monitor for up to five months, depending on survival. This period coincides with the lowest survival rates for fledglings as they learn to forage for themselves and begin moving beyond their nest area. Tagging is to commence during the spring recession season.  The mechanism for water management effects on juvenile snail kite survival is primarily related to foraging habitat and food availability (but can also include increased predation). For example, rapidly receding water levels or low lake levels in general that occur during the first months of a juvenile fledging the nest can affect food availability through reductions in foraging habitat. These effects may be detectable through fledgling movement patterns or decreased survival if a large enough database is established for comparison. This project will play a critical role in building the knowledge base on juvenile movement and survival patterns under a variety of conditions.</t>
  </si>
  <si>
    <t>Interventional Cooperative Agreement Program (ICAP)</t>
  </si>
  <si>
    <t>SSA</t>
  </si>
  <si>
    <t>Social Security Administration</t>
  </si>
  <si>
    <t>This funding opportunity will award cooperative agreements allowing the Social Security Administration (SSA) to collaborate with States, foundations, and other non-federal groups and organizations who have the interest and ability to identify, operate, evaluate, and partially fund interventional research.  The research and interventions under this program will target increasing employment and self-sufficiency of individuals with disabilities, including people of color and other underserved communities (whether beneficiaries, applicants, or potential applicants of the Disability Insurance (DI) or Supplemental Security Income (SSI) programs); coordinating planning between private and public human services agencies to improve the administration and effectiveness of the DI, SSI, and related programs; assisting claimants in underserved communities to apply for or appeal decisions on claims for DI and SSI benefits; and conducting outreach to people with disabilities who are potentially eligible to receive SSI.
SSA intends the projects to have a project period of up to 5 years, with the first year intended to put any necessary data agreements into place, recruit additional partners, and conduct any other implementation planning activities.  If the project is able to meet these milestones in the first year, funding may be continued to implement and evaluate the project for up to four years.</t>
  </si>
  <si>
    <t>Radiation Exposure Screening and Education Program (RESEP)</t>
  </si>
  <si>
    <t>State governments Successful applications must target populations located in the states cited in the Radiation Exposure Compensation Act.</t>
  </si>
  <si>
    <t>Support organizations to screen and educate people exposed to radiation related to the mining of uranium and U.S. testing of nuclear weapons.</t>
  </si>
  <si>
    <t>Strengthening Equitable Education for the Deaf  (SEED)</t>
  </si>
  <si>
    <t>USAID-RWA</t>
  </si>
  <si>
    <t xml:space="preserve">Rwanda USAID-Kigali </t>
  </si>
  <si>
    <t>Unrestricted (i.e., open to any type of entity above), subject to any clarification in text field entitled "Additional Information on Eligibility" Eligibility for this award is not restricted</t>
  </si>
  <si>
    <t xml:space="preserve">USAID/Rwanda Strengthening Equitable Education for the Deaf (SEED)
The overall objective of the Strengthening Equitable Education for the Deaf (SEED) Activity is to improve reading outcomes for pre-primary and lower primary school learners who are deaf or hard of hearing (D/HH) by the end of Primary 3 (P3 or Grade 3) in Rwanda. This Activity seeks to achieve this objective through three intermediate (3) results: 
 Improve parental, community, and youth capacity to support Rwandan Sign Language (RSL) acquisition and literacy for learners who are deaf and hard of hearing; 
 Improve access to quality, relevant bilingual RSL (Rwandan Sign Language (RSL) to Kinyarwanda and English literacy) teaching methodologies to improve reading outcomes for pre-primary and lower primary learners who are deaf or hard of hearing; and
 Strengthen national and decentralized Government of Rwanda (GOR) systems to better serve learners who are deaf or hard of hearing
</t>
  </si>
  <si>
    <t>Defense Community Infrastructure Program</t>
  </si>
  <si>
    <t>DOD-OEA</t>
  </si>
  <si>
    <t>Office of Local Defense Community Cooperation</t>
  </si>
  <si>
    <t>City or township governments The Office of Local Defense Community Cooperation may award grants under this Notice to state and local governments.    and  local governments  are defined in Title 2 of the Code of Federal Regulations, Part 200, paragraph 1 (2 C.F.R. Part 200.1).  The guidance in 2 C.F.R. Part 200, paragraphs 331 through 333 (2 C.F.R. Part 200.331-.333), prescribes how entities eligible to receive funding under the Defense Community Infrastructure Program may act as pass-through entities.  For example, not-for-profit, member-owned utilities may receive funding as a sub-recipient to a state or local government, and projects owned by such utilities must comply with Federal Interest rules described in the Office of Local Defense Community Cooperation s grant terms and conditions.  Proposals must be submitted on behalf of any proposed sub-recipient.  Any proposals submitted by a sub-recipient will not be considered.</t>
  </si>
  <si>
    <t xml:space="preserve">Section 2391(d) of Title 10, United States Code (10 U.S.C. Â§ 2391(d)), authorizes the Secretary of Defense to â€œmake grants, conclude cooperative agreements, and supplement funds available under Federal programs administered by agencies other than the Department of Defense to assist State and local governments to address deficiencies in community infrastructure supportive of a military installation.â€ Community infrastructure projects are transportation projects, community support facilities (e.g., schools, hospitals, police, fire, and emergency response), and utility infrastructure projects (e.g., water, wastewater, telecommunications, electric, gas, etc.) that are located off of a military installation or on property under the jurisdiction of a Secretary of a military department that is subject to a real estate agreement (including a lease or easement), and are owned by a state or local government or a not-for-profit, member-owned utility service. This Notice identifies the criteria established for the selection of community infrastructure projects. Proposals will be competitively scored across these criteria, identified in Section E., paragraph 1. of this Notice. Program funding at $100 million is available and will expire if not obligated prior to the close of business on September 30, 2024. Project proposals must include a letter of support from the local installation commander representing the installation benefitting from the proposed project. Letters of support must, at a minimum, indicate the benefitting installationâ€™s need for the project, willingness to support the civilian execution of the project to the extent practicable, including assisting the Office of Local Defense Community Cooperation with technical review and execution of any required National Environmental Policy Act documentation for the proposed project, and, where applicable, indicate if the proposed project is defense-related critical infrastructure. For proposals for projects that will contribute to the training of cadets enrolled in an independent program at a covered educational institution, the letter of support must include the support of an installation commander for an installation benefitting from the proposed project, regardless of the distance between the covered educational institution and the installation benefitting from the project. </t>
  </si>
  <si>
    <t>Immunization and Vaccines for Children</t>
  </si>
  <si>
    <t>HHS-CDC-NCIRD</t>
  </si>
  <si>
    <t>Centers for Disease Control - NCIRD</t>
  </si>
  <si>
    <t>Others (see text field entitled "Additional Information on Eligibility" for clarification) CDC-RFA-IP19-1901 recipients are only eligible for these funds.  If two jurisdictions share a single jurisdiction-based IIS, only one jurisdiction will be eligible for this award.VTrckS funding eligibility includes the following.Recipients who currently use the VTrckS External Information System (ExIS) interface to upload vaccine orders (and other transactions) to VTrckS. Recipients who have developed an awardee-developed immunization information system (IIS) platform with or without CDC-funded technology partner support.Recipients that are not planning to transition to a CDC-funded technology partner platform within the next two (2) years.Recipients who have previously been funded to complete application programming interface (API) Phases 1 and 2 can only apply for Phase 3 activities.</t>
  </si>
  <si>
    <t>The National Center for Immunization and Respiratory Diseases (NCIRD) announces the availability of funds for 19-1901 Immunization and Vaccines for Children recipients to enhance their jurisdiction-based immunization information system (IIS) with a new VTrckS application programming interface (VTrckS API). The API enables jurisdictional programs to submit vaccine order files and support data directly from their jurisdiction-based immunization information systems. This automation increases the efficiency of vaccine order submission and reduces the burden on jurisdictional program staff. The purpose of this competitive funding is to allow jurisdictional programs using awardee-developed platforms to compete for funding needed to enhance their jurisdiction-based immunization information systems to utilize the new VTrckS API.</t>
  </si>
  <si>
    <t>U.S. Embassy Conakry Strengthening Information Integrity in Guinea Request for Statements of Interest</t>
  </si>
  <si>
    <t>DOS-GIN</t>
  </si>
  <si>
    <t>U.S. Mission to Guinea</t>
  </si>
  <si>
    <t>Others (see text field entitled "Additional Information on Eligibility" for clarification) Other Eligibility Requirements In order to be eligible to receive an award, all organizations must have a Unique Entity Identifier (UEI) number issued via www.SAM.gov as well as a valid registration on www.SAM.gov. Please see Section E.4 for more information. Individuals are not required to have a UEI or be registered in SAM.gov.</t>
  </si>
  <si>
    <t xml:space="preserve">PROGRAM DESCRIPTION 
The U.S. Embassy Conakry Public Diplomacy Section of the U.S. Department of State announces an open competition for organizations to submit a statement of interest (SOI) to carry out projects to strengthen information integrity in Guinea for the purposes of reducing stigmatization and instrumentalization of communal identities in at-risk communities. Proposed projects should seek 1) to improve the accuracy and conflict-sensitivity of reporting in Guineaâ€™s media landscape and 2) to increase Guineansâ€™ awareness of and ability to counter mis- and dis-information. Projects should aim to target communities at high risk for stigmatization or instrumentalization of communal identities. Public Diplomacy Section Conakry invites organizations interested in potential funding to submit SOI applications outlining program concepts that reflect these goals. Please carefully follow all instructions below.  
This opportunity is designed to contribute to the U.S. Strategy to Prevent Conflict and Promote Stability (SPCPS) in Coastal West Africa. The SPCPS seeks to promote peace and prevent violent conflict and violent extremism that risks destabilizing Coastal West Africa (including Guinea, Cote dâ€™Ivoire, Ghana, Togo, and Benin). It aims to implement a new policy approach that addresses the political drivers of fragility and supports locally driven solutions. 
The submission of the SOI is the first step in a two-step process. Applicants must first submit a concise one- to three-page statement of interest in English via this form that clearly communicates program idea and objectives. This is not a full proposal. The purpose of the SOI process is to allow applicants to submit program ideas for evaluation prior to the required development of a full proposal application. Upon a merit review of eligible SOIs, selected applicants will be invited to expand on their program idea(s) by submitting a full proposal application. Full proposals will go through a second merit review before final funding decision(s) are made. </t>
  </si>
  <si>
    <t>BJA FY24 Formula DNA Capacity Enhancement for Backlog Reduction (CEBR) Program</t>
  </si>
  <si>
    <t>With this solicitation, BJA seeks applications for funding under the FY 2024 Formula DNA Capacity Enhancement for Backlog Reduction (CEBR) Program. This program funds states and units of local government with existing crime laboratories that conduct DNA analysis to process, and/or to increase the capacity to process, more DNA samples for entry into the Combined DNA Index System (CODIS) by publicly funded forensic DNA and DNA database laboratories, thereby helping to reduce the number of forensic DNA and DNA database samples awaiting analysis and/or to prevent a backlog of forensic and database DNA samples.</t>
  </si>
  <si>
    <t>Strategies for Controlled Release of HIV Vaccines (SCORE-H) (R01 Clinical Trial Not Allowed)</t>
  </si>
  <si>
    <t>Small businesses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</si>
  <si>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Notice of Funding Opportunity (NOFO) is to support product-focused research to advance controlled release vaccine strategies to improve immune responses for HIV prevention, treatment, and cure and develop simplified or single-shot vaccination formulations. Timelines with measurable milestones are required.</t>
  </si>
  <si>
    <t>OVW FY 2024 Restorative Practices Pilot Program Evaluation</t>
  </si>
  <si>
    <t>This program is authorized by 34 U.S.C. Â§ 12514.
This Fiscal Year 2024 Restorative Practices Pilot Program Evaluation Solicitation (RPPP Evaluation) invites applications to conduct research and evaluation on restorative practices in collaboration with pilot sites and training and technical assistance (TTA) providers. The pilot sites and TTA providers will be funded under separate funding announcements; this solicitation is exclusively to fund research and evaluation.
OVW anticipates investing approximately $8 million in RPPP Evaluation efforts to answer some but not all of the research questions found on page 8 of this solicitation through approaches that align with OVWâ€™s methodological principles for research and evaluation, found on page 12. Applicants should also demonstrate the capacities and competencies described on page 12. 
OVW expects to issue one award under this solicitation to support various research projects under one award that will generate knowledge that practitioners, policymakers, and the public can use to make decisions about developing, implementing, and using restorative practices to redress the harm caused by domestic violence, sexual assault, dating violence, and stalking. The recipient will work in close collaboration with OVW staff, TTA providers, evaluation liaisons, and pilot site practitioners to develop reasonable and useful evaluation measures across and within pilot sites. Additionally, the research that OVW will fund through this award will mirror the aims of restorative practices, use mixed methods approaches, and be adaptable and community-specific with strong researcher-practitioner-community partnerships. 
OVW anticipates issuing the RPPP Evaluation award as a cooperative agreement that will involve multiple junctures at which the recipient will be required to submit detailed plans for OVWâ€™s approval before those plans can proceed. The reason for this is that pilot sites have not been identified yet, and an evaluator cannot realistically determine a detailed and comprehensive evaluation approach without information about the pilot sites. Applicantsâ€™ proposals should include recommended check points at which the evaluator and OVW staff will confer before different phases of project activities proceed.</t>
  </si>
  <si>
    <t>OVC FY24 VOCA Victim Compensation Formula Grant</t>
  </si>
  <si>
    <t>Others (see text field entitled "Additional Information on Eligibility" for clarification) Territories and possessions of the United States</t>
  </si>
  <si>
    <t>OJP is committed to advancing work that promotes civil rights and equity, increases access to justice, supports crime victims and individuals impacted by the justice system, strengthenscommunity safety and protects the public from crime and evolving threats, and builds trust between law enforcement and the community. With this solicitation, OVC seeks to support VOCA Victim Compensation programs across the Nation that provide crucial financial assistance to hundreds of thousands of crime victims each year. VOCA Victim Compensation formula funds shall be used by states and territories for awards of compensation benefits to eligible crime victims. OVC encourages states and territories to use VOCA funding within program parameters to affirmatively advance equity, civil rights, justice, and equal opportunity. In line with these goals, OVC particularly encourages states and territories to include American Indian and Alaska Native Tribes in program planning and funding. State and territory victim compensation programs, funded by VOCA Victim Compensation Formula Grant awards, supplement state/territory efforts to offset victimsâ€™ financial burdens resulting from crime. Compensation is vital to victims who face enormous financial setbacks from medical fees, lost income, dependent care, funeral expenses, relocation expenses, and other costs. OVC will award each eligible state and territory victim compensation program an annual grant equal to 75 percent of the amount the program awarded in state-funded victim compensation payments during the fiscal year 2 years prior to the present fiscal year, other than amounts awarded for property damage.</t>
  </si>
  <si>
    <t>OVC FY24 VOCA Victim Assistance Formula Grant</t>
  </si>
  <si>
    <t>OJP is committed to advancing work that promotes civil rights and equity, increases access to justice, supports crime victims and individuals impacted by the justice system, strengthens community safety, protects the public from crime and evolving threats, and builds trust between law enforcement and the community.With this solicitation, OVC seeks applications for funding under the FY 2024 VOCA Victim Assistance Formula Grant Program. This program furthers the Departmentâ€™s mission by providing grants to support the provision of services to victims of crime throughout the nation. OVC encourages SAAs to use VOCA funding within program parameters to affirmatively advance equity, civil rights, justice, and equal opportunity. In line with these goals, OVC particularly encourages SAAs to include American Indian and Alaska Native tribes in program planning and funding.This program furthers the DOJâ€™s mission to uphold the rule of law, to keep our country safe, and to protect civil rights.</t>
  </si>
  <si>
    <t>Fish and Wildlife Coordination Act Program Financial Assistance for Fiscal Year 2024</t>
  </si>
  <si>
    <t>Private institutions of higher education Those not eligible to receive an award include, but are not limited to, the following entities:Federal governmental entitiesIndividuals</t>
  </si>
  <si>
    <t>This Notice of Funding Opportunity (NOFO) is issued under the authority of the Fish and Wildlife Coordination Act of 1934, Public Law (P.L.) 85-624, 16 United States Code (U.S.C.) Â§661, et.seq., as amended; as limited by the Secretary of the Interior delegation of authority at 255 Departmental Manual (DM) 1.1B to:(a) conduct activities for the improvement of fish and wildlife habitat associated with water systems or water supplies affected by Bureau of Reclamation (Reclamation) projects, including but not limited to fish passage and screening facilities at any non-Federal water diversion or storage project within the region;(b) plan, design, construct, and monitor, including acquire lands or interest therein as needed, instream habitat improvements, including but not limited to fish passage screening facilities at off-site locations (as negotiated on privately owned lands and facilities not associated with a Reclamation project); and(c) monitor and evaluate the effect of Reclamation actions on fish and wildlife resources including ESA-listed species.  Reclamationâ€™s Yuma Area Office (YAO) periodically makes funding available for conducting activities for Threatened and Endangered species and their habitats under Section 7(a)1 of the Endangered Species Act (ESA) under the Fish and Wildlife Coordination Act Program (FWCAP). The objective(s) of this NOFO is to fund projects for activities in support of YAOâ€™s endangered species and environmental restoration programs in Federal fiscal year (FY) 2024 (October 1, 2023, through September 30, 2024).</t>
  </si>
  <si>
    <t>Centers for Research in Emerging Infectious Diseases (CREID) Network (U01 Clinical Trial Not Allowed)</t>
  </si>
  <si>
    <t>The purpose of this notice of funding opportunity (NOFO) is to invite applications for Research Centers (RC) to support the Centers for Research in Emerging Infectious Diseases (CREID) Network. The CREID network serves to expand knowledge on re-emerging and emerging infectious diseases (re/EIDs) around the globe where outbreaks are most likely to occur. Multi- and inter-disciplinary teams of domestic and international investigators will conduct innovative, collaborative One Health (approach that recognizes the health of humans is interconnected with that of animal health and the shared environment) based research projects and will mount a rapid and effective research response to outbreaks through coordination, collaboration, and cooperation across the CREID Network.</t>
  </si>
  <si>
    <t>BJA FY24 Competitive DNA Capacity Enhancement for Backlog Reduction (CEBR) Program</t>
  </si>
  <si>
    <t>OJP is committed to advancing work that promotes civil rights and racial equity, increases access to justice, supports crime victims and individuals impacted by the justice system, strengthens community safety and protects the public from crime and evolving threats, and builds trust between law enforcement and the community. 
With this solicitation, BJA seeks to provides funding to states and units of local government with existing crime laboratories that conduct DNA analysis to solve crimes and protect public safety by maximizing the effective utilization of DNA technology to process DNA samples for entry into the Combined DNA Index System (CODIS).</t>
  </si>
  <si>
    <t>Centers for Research in Emerging Infectious Diseases (CREID) Network Coordination Center (U01 Clinical Trial Not Allowed)</t>
  </si>
  <si>
    <t>Private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</si>
  <si>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notice of funding opportunity (NOFO) is to invite applications for the Centers for Research in Emerging Infectious Diseases (CREID) Network Coordination Center (CC). The CREID Network, comprised of all recipients under this NOFO and the companion NOFO [insert NOFO number here], serves to expand knowledge on re-emerging and emerging infectious diseases (re/EIDs) around the globe where outbreaks are most likely to occur while developing expertise, capacity, and readiness to address outbreak-related research. The CC will serve to advance, facilitate, and coordinate select scientific, data and resource management, communication, administrative, and leadership efforts during both outbreak and non-outbreak periods among the CREID Networks  centers and stakeholders in a collaborative and cooperative fashion.</t>
  </si>
  <si>
    <t>Feasibility of Novel Diagnostics for TB in Endemic Countries (FEND for TB)  (R01 Clinical Trial Not Allowed)</t>
  </si>
  <si>
    <t>Native American tribal organizations (other than Federally recognized tribal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</si>
  <si>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notice of funding opportunity (NOFO) is to support the evaluation of early-stage diagnostics and novel diagnostic strategies for Tuberculosis (TB) in the context of existing clinical algorithms in TB endemic countries. Evaluation studies should: 1) perform proof-of principle studies of novel diagnostic tests and strategies for TB, including among people living with HIV (PLWH) and 2) provide feedback to diagnostic developers and policy makers on the performance of the technologies and most effective strategies for use of the diagnostic technologies in an endemic setting.</t>
  </si>
  <si>
    <t>Strategic Innovation for Revenue Collection (SIRC) Program</t>
  </si>
  <si>
    <t>Others (see text field entitled "Additional Information on Eligibility" for clarification) Eligible entities include a State or a group of States; a Metropolitan Planning Organization (MPOs) or a group of Metropolitan Planning Organizations (as defined in 23 U.S.C. 134(b)); a local government or a group of local governments; and multi-jurisdictional groups.  An eligible multi-jurisdictional group is any combination of States, local governments, or Metropolitan Planning Organizations for which each member of the group has signed a written agreement to participate in the SIRC pilot project across jurisdictional boundaries.  If the applicant is a multi-jurisdictional group, one entity in the group will be required to administer the Federal funding, which may also entail providing project oversight.  Where applicable, FHWA expects that all relevant State agencies (e.g., Department of Motor Vehicles, Department of Revenue) needed to initiate a full-scale deployment of the proposed revenue mechanism will be actively involved in the planning and operation of a pilot project.If a State has previously proven the viability of an alternative revenue mechanism in a limited capacity through its own research, it may still be a candidate for funding under the SIRC Program.  Applications for full, new pilot projects and for extensions or enhancements of previous pilot or demonstration projects are both eligible if they meet the other eligibility requirements.</t>
  </si>
  <si>
    <t xml:space="preserve">NOFO Amendment 2 issued 04/25/2024: The purpose of this amendment is to provide the link to the recording of the informational webinar that was hosted by FHWA on 4/17/2024. The webinar can be accessed via the following link and password: 
NOFO Webinar Link: https://usdot.zoomgov.com/rec/share/ZeAj-hZqR3YwUzGTeTtVNv--APkxN2R6DlQ8aJ-kzaS7ozbsOBQICD_rxrRfvI4.gf_NgA4yFYWtaH0K  
Passcode: ^U7cv.H2 
NOFO Amendment 1 issued 04/05/2024: The purpose of this amendment is to provide the date, time, and registration information for this NOFO's Informational Webinar. The Strategic Innovation for Revenue Collection (SIRC) NOFO Informational Webinar will be held via Zoom on April 17, 2024 at 2:30PM - 4:00PM (Eastern). Interested parties can register at: https://usdot.zoomgov.com/webinar/register/WN_Xwm4JJF4TvGZBmUTOaDdiA 
Please refer to the "Related Attachments" tab for the full text of the NOFO, as well as Frequently Asked Questions (FAQs) 
FHWA RECOMMENDS INTERESTED APPLICANTS HIT THE "SUBSCRIBE" BUTTON FOR THIS OPPORTUNITY TO ENSURE RELATED NOTIFICATIONS ARE SENT TO THE APPLICANT'S AUTHORIZED ORGANIZATIONAL REPRESENTATIVE (AOR). 
NOFO Overview 
The purpose of this Notice of Funding Opportunity (NOFO or notice) is to solicit applications for FHWAâ€™s Strategic Innovation for Revenue Collection (SIRC) Program for Fiscal Years (FY) 2022 â€“ 2024. Applications for FY 2022 â€“ 2023 and FY 2024 funds will have two separate submission deadlines in 2024. The specific deadlines for each award cycle will be posted as an attachment to this multi-year NOFO via Grants.gov. The SIRC Program is authorized in Section 13001 of the Bipartisan Infrastructure Law (BIL), enacted as the Infrastructure Investment and Jobs Act (IIJA) (Pub. L. 117-58). 
Based on the amounts authorized under the BIL, the anticipated funding available for discretionary grants each fiscal year between FY 2022 and 2024 will be $15,000,000 ($30 million for FY 2022 â€“ 2023 and $15 million for FY 2024), subject to the availability of funds and obligation limitation. This is the first announcement of this funding opportunity and is not a follow-on notice. However, FHWA implemented a similar predecessor program, the Surface Transportation System Funding Alternatives (STSFA) Program authorized by section 6020 of the Fixing Americaâ€™s Surface Transportation (FAST) Act (Pub. L. No. 114-94), for the last several years. Information about awards funded under the STSFA Program is available at: The STSFA was repealed by Section 13001(f) of BIL. 
Federal grant funds for the SIRC Program are to be awarded on a competitive basis to eligible entities to test the feasibility of a road usage fee and other user-based alternative revenue mechanisms to help maintain the long-term solvency of the Highway Trust Fund. This notice describes the eligibility criteria, application requirements, selection and evaluation criteria, applicable program and Federal requirements, and available technical assistance during the pilot program. </t>
  </si>
  <si>
    <t>Conservation Technical Assistance: Grazing Lands Conservation Initiative (GLCI) Cooperative Agreements</t>
  </si>
  <si>
    <t>Individuals Farmer or rancher organizations, State and local conservation governmental agencies, Agricultural Extension Services, All Land grant universities, including 1890 or 1994 land grant institution (7 U.S.C. 3222 et seq.), Hispanic-serving institution (20 U.S.C. 1101a), or other minority-serving institution, such as an historically Black college or university (20 U.S.C. 1061), a tribally controlled college or university (25 U.S.C. 1801), or Asian American and Pacific Islander-serving institution (20 U.S.C. 1059g).</t>
  </si>
  <si>
    <t>Federal Awarding Agency Name: U.S. Department of Agriculture â€“ U.S. Department of Agriculture â€“ Natural Resources Conservation Service (NRCS) Notice of Funding Opportunity Title: Conservation Technical Assistance: Grazing Lands Conservation Initiative (GLCI) Cooperative AgreementsNotice of Funding Opportunity Number: USDA-NRCS-NHQ-ST-24-NOFO0001313Assistance Listing: This program is listed in the Assistance Listings (previously referred to as the Catalog of Federal Financial Assistance) on Sam.gov under 10.902, which can be found at: https://sam.gov/content/homeSAM is a web-based, government-wide application that collects, validates, stores, and disseminates business information about the federal government's trading partners in support of the contract awards, grants, and electronic payment processes.Notice of Funding Opportunity SummaryThe Natural Resources Conservation Service (NRCS) delivers conservation solutions so agricultural producers can protect natural resources and feed a growing world. NRCS provides leadership and funding to ensure that all programs and services are made accessible to all customers, fairly and equitably, with emphasis on reaching historically underserved farmers and ranchers and Native American tribal governments and organizations. NRCS is committed to advancing equity, justice, and equal opportunity to ensure equitable access to programs and services available on private agricultural and forest lands.The goal of this funding opportunity is for NRCS, in collaboration with a diverse set of partners, including historically underserved farmers and ranchers and their organizations, to expand the delivery of conservation technical assistance to support grazing planning and conservation practice implementation and monitoring, conferences and other education, demonstrations, producer networks, workforce training, research and outreach projects to improve agricultural resilience. The anticipated amount for cooperative agreements under this NFO is approximately $22 million in fiscal year (FY) 2024. FY 2024 GLCI funding supports the Conservation Technical Assistance: Grazing Lands Conservation Initiative (GLCI) Cooperative Agreements. GLCI also supports NRCS technical assistance for grazing, as well as the National Grazing Lands Coalition to help state grazing coalitions form and persist with participation from historically underserved producers and Native American tribal governments and organizations. For new users of Grants.gov, see Section D. of the full Notice of Funding Opportunity for information about steps required before submitting an application via Grants.gov.Key DatesApplicants must submit their applications via Grants.gov by 11:59 pm Eastern Time May 26, 2024. For technical issues with Grants.gov, contact Grants.govApplicant Support at 1-800-518-4726 or support@grants.gov. Awarding agency staff cannot support applicants regarding Grants.gov accounts.For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The agency anticipates making selections by June 25, 2024, and expects to execute awards by September 30, 2024. These dates are estimates and are subject to change. Federal Funding Floor and Ceiling AmountsA total of $14,000,000 will be made available with a funding ceiling of $1,000,000 and a funding floor of $350,000 for three or four-year agreements.A total of $8,000,000 will be made available with a funding ceiling of $300,000 and a funding floor of $100,000 for one or two-year agreements. The funding floor means the minimum agreement funding amount for the Federal share per agreement awarded. The ceiling is the maximum agreement funding amount for the Federal share per agreement awarded. These numbers refer to the total agreement amount, not any specific budget period.Applicants may apply for either of the two types of agreements.Federal Financial Assistance TrainingThe funding available through this NFO is Federal financial assistance. Grants 101 Training is highly recommended for those seeking knowledge about Federal financial assistance. The training is free and available to the public via https://www.cfo.gov/resources/federal-financial-assistance-training/.It consists of five modules covering each of the following topics: 1) laws, regulations, and guidance; 2) financial assistance mechanisms; 3) uniform guidance administrative requirements; 4) cost principles; and 5) risk management and single audit. FPAC agencies also apply Federal financial assistance regulations to certain non-assistance awards (e.g., non-assistance cooperative agreements).</t>
  </si>
  <si>
    <t>FY 2024 National Environmental Information Exchange Network Grant Program</t>
  </si>
  <si>
    <t xml:space="preserve">The EPA Exchange Network Grant Program is soliciting project applications to support the Environmental Information Exchange Network (EN) to:Facilitate sharing of environmental data, especially through shared and reusable services.Reduce burden and avoid costs for co-regulators and the regulated community.Streamline data collection and exchanges to improve its timeliness for decision making.Increase the quality and access to environmental data through discovery, publishing, outbound and analytical services so it is more useful to environmental managers.Increase data and IT management capabilities needed to fully participate in the EN. </t>
  </si>
  <si>
    <t>DoD Peer Reviewed Medical, Discovery Award</t>
  </si>
  <si>
    <t>The PRMRP Discovery Award is intended to support innovative, untested, non-incremental, high-risk/potentially high-reward research that will provide new insights, paradigms, technologies, or applications. The proposed project may be exploratory, hypothesis-driven, or hypothesis-generating research but must be novel and must be based on a strong scientific rationale and a well-developed study design and plan of analysis. Studies supported by this award are expected to lay the groundwork for future avenues of scientific investigation or product development. The outcome of research supported by this award should be the generation of robust preliminary data that can be used as a foundation for groundbreaking future research projects.This award is not intended to support/validate ongoing research and inclusion of preliminary data is not allowed. Inclusion of preliminary data other than serendipitous finding is not consistent with the exploratory nature of this award. Applicants seeking funding for research to further an existing research project should consider one of the other FY24 PRMRP program announcements being offered. For information about these award mechanisms, see Section II.A.1, FY24 PRMRP Research Development Pipeline.</t>
  </si>
  <si>
    <t>OVW Fiscal Year 2024 Special Tribal Criminal Jurisdiction (STCJ) Grant Program</t>
  </si>
  <si>
    <t>Others (see text field entitled "Additional Information on Eligibility" for clarification) Eligible applicants are limited to: Governments of Indian tribes that have jurisdiction over Indian Country.</t>
  </si>
  <si>
    <t>The OVW Special Tribal Criminal Jurisdiction Grant Program (Tribal Jurisdiction Program) (Assistance Listing # 16.025) supports tribes in their efforts to exercise special Tribal criminal jurisdiction (STCJ) over non-Indians who commit "covered crimes" within the Tribe's jurisdictional boundaries and provides technical assistance for planning and implementing changes in their criminal justice systems necessary to exercise the jurisdiction. "Covered crimes" are: assault of Tribal justice personnel; child violence; dating violence; domestic violence; obstruction of justice; sexual violence; sex trafficking; stalking; and violation of a protection order. The program supports tribes in preparing to exercise or exercising the jurisdiction to ensure that victims find safety and justice and that non-Indians who commit covered crimes within their communities are held accountable.</t>
  </si>
  <si>
    <t>CIG- FY 2024 - Missouri</t>
  </si>
  <si>
    <t>Notice of Funding Opportunity Summary 
NRCS is announcing the availability of Conservation Innovation Grants (CIG) State Program funding to stimulate the development and adoption of innovative conservation approaches and technologies. Applications are accepted from eligible entities (Section C) for projects carried out in the state of Missouri. A total of up to $500,000.00 is available for the Missouri CIG competition in FY 2024. All non-Foreign, non-federal entities (NFE) and individuals are invited to apply, with the sole exception of federal agencies. Projects may be between one and three years in duration. The maximum award amount for a single award in FY 2024 is $250,000.00. 
For new users of Grants.gov, see Section D. of the full Notice of Funding Opportunity for information about steps required before submitting an application via Grants.gov. Completing all steps required to start an application can take a significant amount of time, plan accordingly. 
Key Dates 
Applicants must submit their applications via Grants.gov by 11:59 pm Eastern Time on May 25th, 2024. For technical issues with Grants.gov, contact Grants.gov Applicant Support at 1-800-518-4726 or support@grants.gov. Awarding agency staff cannot support applicants regarding Grants.gov accounts. 
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A webinar for CIG applicants is scheduled for April 8, 2024 at 9 a.m. CT Standard Time. Information on how to participate in the webinar will be posted to the Missouri NRCS CIG website along with a link below. Applicants are encouraged to visit the MO State CIG website to learn more about the CIG program. 
Link to webinar Teams meeting: 
https://teams.microsoft.com/l/meetup-join/19%3ameeting_ZWE5MTdiYWQtYjM3Yi00ZmVjLThhNzMtZjdjNzBlZjQ5ZTNi%40thread.v2/0?context=%7b%22Tid%22%3a%22ed5b36e7-01ee-4ebc-867e-e03cfa0d4697%22%2c%22Oid%22%3a%22cd47cf8d-9f96-4309-87f4-c21c3a497296%22%7d 
The agency anticipates making selections by July 1st and expects to execute awards by September 30th. These dates are estimates and are subject to change.</t>
  </si>
  <si>
    <t>DoD Peer Reviewed Medical, Technology/Therapeutic Development Award</t>
  </si>
  <si>
    <t>The PRMRP Technology/Therapeutic Development Award (TTDA) is a product-driven award mechanism intended to provide support for the translation of promising preclinical findings into products for clinical applications, including prevention, detection, diagnosis, treatment, or quality of life, for a disease or condition related to one of the FY24 PRMRP Topic Areas and one of the FY24 PRMRP Strategic Goals. Products in development should be responsive to the health care needs of military Service Members, Veterans, and their Families. The product(s) to be developed under the PRMRP TTDA mechanism may be a tangible item, such as a pharmacologic agent (drugs or biologics) or device, or a knowledge-based product. (A â€œknowledge productâ€ is a non-materiel product that addresses an identified need in a topic area, is based on current evidence and research, aims to transition into medical practice, training, tools, or to support materiel solutions [systems to develop, acquire, provide, and sustain medical solutions and capabilities], and educates or impacts behavior throughout the continuum of care, including primary prevention of negative outcomes.)The Technology/Therapeutic Development Award is not intended for basic research. Applicants generating preliminary data, basic research, performing high-risk/high-gain studies should consider one of the other FY24 PRMRP program announcements being offered. For information about these award mechanisms, see Section II.A.1, FY24 PRMRP Research Development Pipeline.</t>
  </si>
  <si>
    <t>DoD Peer Reviewed Medical, Investigator-Initiated Research Award</t>
  </si>
  <si>
    <t>The PRMRP Investigator-Initiated Research Award (IIRA) supports fundamental research studies that will make an important contribution toward research, patient care, and/or quality of life for a disease or condition related to one of the FY24 PRMRP Topic Areas and one of the FY24 PRMRP Strategic Goals. This award mechanism is intended to support basic research that is exploratory in nature and seeks to further or validate preliminary findings for short- or long-term impact. Research projects may focus on any stage of basic laboratory research, ranging from fundamental research for the generation of knowledge, hypothesis, or models, to expansion of mature data.The rationale for a research idea may be derived from a laboratory discovery, population-based studies, a clinicianâ€™s first-hand knowledge of patients, or anecdotal data. The project should include a well-formulated testable hypothesis based on existing evidence. Applications must include relevant preliminary data that support the rationale and feasibility for the proposed study. These data may be unpublished or from the published literature.This award mechanism is not intended to support translational research. Applicants seeking funding for projects that have progressed beyond the realm of basic research should consider one of the other FY24 PRMRP program announcements being offered. For information about these award mechanisms, see Section II.A.1, FY24 PRMRP Research Development Pipeline.</t>
  </si>
  <si>
    <t>DoD Peer Reviewed Medical, Lifestyle and Behavioral Health Interventions Research Award</t>
  </si>
  <si>
    <t>The FY24 PRMRP Lifestyle and Behavioral Health Interventions Research Award (LBIRA) supports clinical research and/or clinical trials using a combination of scientific disciplines including behavioral health, psychology, psychometrics, biostatistics and epidemiology, surveillance, and public health. Applications are required to address and provide a solution to one of the congressionally directed FY24 PRMRP Topic Areas and FY24 PRMRP Strategic Goals.The overall intent of the FY24 PRMRP LBIRA mechanism is to promote evidence-based and patient-centered approaches to improve health and/or disease-related outcomes and enhance the patient experience in defined populations. Research ideas may include, but are not limited to:â€¢ Development and testing for efficacy of lifestyle interventions and symptom management approaches to minimize disease risk and maximize quality of life.â€¢ Studies to investigate the impact of prevention, diagnostics, treatment, or health care delivery approaches on health outcomes.â€¢ Studies to assess the relationship(s) between behavioral, cognitive, and/or social functioning in relation to disease or condition initiation, progression, detection, treatment, and rehabilitation.â€¢ Studies to examine and improve quality of life or decision-making.â€¢ Population-focused studies to identify behavioral and lifestyle predictors of disease and/or disease progression.</t>
  </si>
  <si>
    <t>DoD Peer Reviewed Medical, Impact Award</t>
  </si>
  <si>
    <t>The FY24 PRMRP Impact Award supports applied research, defined as use-inspired and practice-oriented science that brings together outcomes from basic research, and insights from the real-world environment, to foster clinical applicability. The intent of the Impact Award is to translate the fundamental understanding of underlying mechanisms toward practical applications that have the potential for major near-term impact on patients affected by one of the diseases and conditions included in the FY24 PRMRP Topic Areas.Proposed research should refine mature concepts and ideas into translatable solutions with a view toward evaluating technical feasibility of promising new pharmacological agents, knowledge products, behavioral and rehabilitation interventions, diagnostic and therapeutic techniques, clinical guidance, and/or emerging approaches and technologies. The FY24 PRMRP Impact Award is not intended to support basic research.For the purposes of this funding opportunity, basic research is defined as exploratory science directed toward greater knowledge or understanding of the fundamental aspects of phenomena or outcomes, without specific applications toward process and products. Examples include, but are not limited to, high-risk/high-gain approaches, mechanistic studies, and preliminary data generation/validation. Applicants seeking funding for research that meets this definition should consider one of the other FY24 PRMRP program announcements being offered. For information about these award mechanisms, see Section II.A.1, FY24 PRMRP Research Development Pipeline.</t>
  </si>
  <si>
    <t>Invasive Species Eradication Funding Opportunity</t>
  </si>
  <si>
    <t>Unrestricted (i.e., open to any type of entity above), subject to any clarification in text field entitled "Additional Information on Eligibility" Federal entities are not eligible for funding under this funding opportunity.</t>
  </si>
  <si>
    <t>Invasive species pose a significant threat to the ecological, economic, and cultural integrity of Americaâ€™s lands and waters and the communities they support.  Once invasive species are established, it is often challenging and costly to control or eradicate those infestations.  In some cases, however, eradication â€“ the removal or destruction of an entire population of invasive species from a defined area â€“ is both possible and feasible, resulting in substantial ecological and economic benefits.  This can include eradication of a founding population of invasive species (e.g., a newly introduced species to a specific area) or eradicating a well-established population.  Eradication, while it represents the ideal outcome in most cases, requires consideration of the available eradication techniques, cost, likelihood of success, likelihood of re-invasion, public support, complexity of environmental compliance, and availability of resources.  This latter consideration is frequently a barrier to implementing eradication measures that can lead to restoring ecosystem health.Furthermore, successful eradication efforts are often dependent on the use of integrated pest management (IPM) strategies, making well informed decisions, and applying a collaborative approach.  IPM is defined as an approach to managing pests that uses biological, cultural, physical, and chemical tools in a way that minimizes health, environmental, and economic risks.  Collaboration with relevant parties, such as state, federal, local, tribal, territory, private, and other land managers, is often essential for successful eradication projects.For eradication to be an option, resource managers must have access to effective tools. Therefore, it is important to support both on-the-ground eradication efforts and also the research into and development of tools where they do not exist.  DOI encourages leveraging science and technology to increase the likelihood of eradication of invasive species and increase the likelihood of long-term success.  As such, proposals will be considered for on-the-ground projects that eradicate an invasive species or those projects that advance research that increases the effectiveness and near-term availability of eradication tools.  For example, studies that lead to the development of genetic interventions and physical, mechanical, chemical, and biological eradication tools would be eligible.Examples of the type of work being targeted for this Invasive Species Eradication Funding Opportunity include:Eradication of the invasive annual grass Cenchrus spp.  A Weed Risk Assessment for the invasive annual grass Cenchrus spp. in Hawaiâ€˜i identified the species as high risk for many reasons.  It thrives and spreads in tropical climates.  It is an invasive plant that affects native coastal vegetation and seabird habitat.  It has spiny burs that disperse easily via clothing or feathers, reproduces by prolific seed production, and is easily spread by high winds and storms.  It reaches maturity in less than one year and persists in the seedbank for one to five years.  Cenchrus spp. was introduced to the remote island of Nihoa, a volcanic remnant in the Hawaiian Archipelago with many geographically distinct species including two endemic and endangered passerines and three endemic and endangered plants.  Early detection and monitoring indicated that the Cenchrus spp. infestation on Nihoa dramatically increased from just seven plants observed in 2017 to over 600 plants in 2018.  This expansion indicated that it was initiating its ascent of the exponential growth curve common in invasive species. Eradication efforts are underway to eradicate Cenchrus spp. from Nihoa via an integrated pest management process (e.g., physical and chemical treatments) coupled with rigorous biosecurity measures to prevent reinvasion.Research on the use of YY technology for invasive fish eradication. The Western Association of Fish and Wildlife Agencies initiated, in 2018, the YY Male Consortium (Consortium) with funding from 13 western states.  The Consortium is building upon the work initiated by the State of Idaho to develop YY male broodstock for invasive brook trout. They are developing research broodstock for five additional regionally invasive species, including the common carp, walleye, lake trout, brown trout and Northern pike.  Ongoing field evaluations of eradication programs using YY male brook trout in several western states indicate suppression is happening as modeled. In addition, populations in smaller systems are on the verge of documenting total eradication.  This work combines multiple control tools using the principles of integrated pest management by suppressing invasive brook trout populations annually through mechanical and/or chemical control, and then stocking the equivalent number of YY males to replace those removed.  YY males breed with the wild females, producing only YY males, leading ultimately to an all YY male population and population eradication.   Note: This Invasive Species Eradication Funding Opportunity is separate from the Rapid Response Fund for Aquatic Invasive Species Notice of Funding Opportunity (grants.gov announcement number F24AS00175).  The Rapid Response Fund for Aquatic Invasive Species is intended to support the planning and deployment of responses to newly detected populations of aquatic invasive species in pursuit of eradicating the population before it becomes established and spreads.  This Invasive Species Eradication Funding Opportunity, however, is open to all taxa (see Eligible Taxa section) and can be used for eradication of newly detected populations of terrestrial invasive species, eradication of well-established populations of aquatic or terrestrial invasive species, or for research that advances tools for effective eradication of aquatic or terrestrial invasive species. Bipartisan Infrastructure Law (BIL) Ecosystem Restoration Program and DOI PrioritiesThe Bipartisan Infrastructure Law (also referred to as BIL, or the Infrastructure Investment and Jobs Act (IIJA)), Section 40804 (Ecosystem Restoration) provided funding to DOI for â€œinvasive species detection, prevention, and eradication, including conducting research and providing resources to facilitate detection of invasive species at points of entry and awarding grants for eradication of invasive species on non-Federal land and on Federal land.â€  This Invasive Species Eradication Funding Opportunity aims to meet BILâ€™s direction to offer grants for eradication of invasive species.This funding opportunity also advances DOIâ€™s policy regarding invasive species management (524 DM 1) which identifies eradication undertaken in a cost-effective and environmentally sound manner as one objective of an integrated pest management approach.  Additionally, it advances Goal 4 of the DOIâ€™s Invasive Species Strategic Plan for 2021-2025 to cost-effectively control or eradicate established invasive species populations to reduce impacts and help restore ecosystems.For this funding opportunity, collaboration with one of DOIâ€™s Keystone Initiatives is encouraged, as appropriate.  DOI prioritized these Keystone Initiatives as focal areas for transformational conservation efforts across the nation.  The Keystone Initiatives advance the Restoration and Resiliency Framework and include:Gravel to GravelGrasslandsHawaiian Forest BirdsKlamath BasinSagebrush EcosystemSaltmarsh, andAppalachiaPurpose and Program Grant Requirements:In Fiscal Year 2024, DOI prioritized BIL funds to establish this Invasive Species Eradication Funding Opportunity within the existing authorities of DOI, to be administered by the USFWS in collaboration with DOI bureaus.  Accordingly, the DOI bureaus, through the USFWS, invite proposals to support the eradication of a newly introduced or established species in terrestrial or aquatic habitats of the United States, including the U.S. territories (aquatic habitats include freshwater, wetland, riparian, estuarian, and marine).  While preference will be given to proposals that result in eradication of invasive species, research proposals that advance research that increases the effectiveness and availability of eradication tools will be considered.  â€œEradicationâ€ is defined as the removal or destruction of an entire population of invasive species. For the purposes of this funding opportunity, this means the elimination of all individuals of a distinct population in a geographically defined area that is not contiguous or connected (via natural dispersal) with other populations and that is surrounded by naturally occurring or human-made barriers sufficiently effective to prevent reinvasion as verified using monitoring and inventories.  Projects targeted at eradicating a founding population of a terrestrial invasive species or those eradicating established populations of aquatic or terrestrial invasive species will be considered.  Eradication can be a key resource management step that then allows other resource management objectives to be achieved, such as habitat restoration or the recovery of Threatened and Endangered Species.  This funding opportunity recognizes that eradication of a widespread established invasive species is possible and can be successful late in the invasion stages, but it requires strategic approaches (such as by using IPM) and targeted investments.  The intent of this funding opportunity is to promote and invest in those projects with a high likelihood of achieving eradication success and in those that have existing partnerships and plans in place. NOTE: Projects responding to founding populations of aquatic invasive species within the early detection and rapid response context should instead apply for funding through the Rapid Response Fund for Aquatic Invasive Species.  Projects addressing established aquatic invasive species infestations with a high likelihood of eradication can apply for this Eradication Funding Opportunity. Proposals submitted for this opportunity should address how the proposed project supports DOIâ€™s mission, especially helping to protect vulnerable, high priority, or protected species or areas.  Proposals that service underserved, or historically disadvantaged communities are also encouraged.  These will be considered among the grant review criteria listed under the Application Review Information section later in this document.</t>
  </si>
  <si>
    <t>Supporting American-Style Higher Education in Iraq 2024</t>
  </si>
  <si>
    <t>DOS-NEA-AC</t>
  </si>
  <si>
    <t>Assistance Coordination</t>
  </si>
  <si>
    <t>Others (see text field entitled "Additional Information on Eligibility" for clarification) Eligible applicants must be an American-style Institution of Higher Education in Iraq, to include the Iraqi Kurdistan Region, that is non-state sponsored and offers a postsecondary level academic curriculum that leads to a vocational, associate s, bachelor s, or higher degree.</t>
  </si>
  <si>
    <t>The Bureau of Near Eastern Affairs, Office of Assistance Coordination (NEA/AC), seeks applications to support and strengthen American-style IHEs in Iraq.Please see the link to my grants for submission instructions: https://mygrants.servicenowservices.com/mygrants?id=mygrants_form view=Default</t>
  </si>
  <si>
    <t>Centers of Research Excellence in Science and Technology - Research Infrastructure for Science and Engineering</t>
  </si>
  <si>
    <t>Others (see text field entitled "Additional Information on Eligibility" for clarification) *Who May Submit Proposals: Proposals may only be submitted by the following:
  -
Minority Serving Institutions (see definition below) that are Emerging Research Institutions (ERIs) and offer master s or research doctoral degrees in NSF-supported STEM fields are eligible to submit. Emerging Research Institutionsare those that have less than $50,000,000 inresearchexpenditures per year as reported at  a href=  in three of the last five years.
_x000D_
For this solicitation, MSIs are defined as institutions, at the time of proposal submission, that have enrollments of 50% or moreU.S. resident students (non-international) (based on total student enrollment) who are members of minority groups underrepresented among those holding advanced degrees in science and engineering fields. Proposals are also invited from institutions of higher education that meet the 50% enrollment criterion and primarily serve populations of students with disabilities. Eligibility may be determined by reference to the Integrated Postsecondary Education Data System (IPEDS) of the US Department of Education National Center for Education Statistics ( a href= ).
*Who May Serve as PI:
CREST-RISE DPSI
_x000D_
The Principal Investigator (PI) must hold a full-time faculty appointment in an NSF-supported STEM discipline at the institution submitting the proposal.
_x000D_
CREST-RISE RAD
_x000D_
The PI must meet all the following eligibility requirements at the time of submission:
_x000D_
 _x000D_
 Be a full-time faculty member with the DPSI institution, _x000D_
 Have earned a doctoral degree no more than 10 years prior to the proposal submission date, _x000D_
 Be engaged in research in a STEM area supported by NSF and in alignment with the institution s active DPSI project, _x000D_
 Mentor or commit to mentor research doctoral students in the DPSI subject area, _x000D_
 Hold a position as an assistant professor (or equivalent), _x000D_
 Be untenured and on a tenure-track or tenure-track equivalent position, and _x000D_
 Have not previously received a RAD award.  _x000D_
 _x000D_
Tenure-Track Equivalency   For a position to be considered a tenure-track-equivalent position, it must meet the following requirement:
_x000D_
 _x000D_
 the employee has a continuing appointment that is expected to last the five years of a RAD award _x000D_
 _x000D_
For tenure-track equivalent faculty, a Departmental Letter must affirm that the investigator s appointment is at an early-career level equivalent to pre-tenure status. Further, the Departmental Letter must clearly and convincingly demonstrate how the faculty member s appointment satisfies all the above requirements of tenure-track equivalency.
_x000D_
Faculty members who are associate professors, full professors, or have equivalent appointments with or without tenure/tenure-equivalency, are not eligibleto serve as PI for a RAD award.
_x000D_
Faculty members who hold Adjunct Faculty or equivalent appointments are not eligible to serve as PI for the RAD award.
_x000D_
Co-PIs are not permitted for a RAD proposal.
_x000D_
CREST-RISE E I
_x000D_
The PI must be a full-time faculty member at the requesting institution and must be mentoring DPSI supported research doctoral students from the institution s active DPSI award.</t>
  </si>
  <si>
    <t xml:space="preserve">The Centers of Research Excellence in Science and Technology (CREST) program provides support to enhance the research capabilities of minority-serving institutions (MSIs) as defined in this solicitation s Eligibility section, through effective integration of education and research. The CREST program, composed of the CREST Centers, the CREST Postdoctoral Research Program, and the projects supported by this CREST-RISE solicitation, promotes the development of new knowledge, enhancements of the research productivity of individual faculty and postdoctoral scholars, and an expanded presence of research doctoral students in science, technology, engineering, and mathematics (STEM) disciplines, especially those from underrepresented groups.
_x000D_
CREST-RISE is the component of the CREST program that supports the expansion of institutional research capacity by increasing the strength of institutional graduate programs and the successful production of research doctoral students, especially those from groups underrepresented in STEM.
_x000D_
The CREST-RISE component supports STEM research doctoral programs in all NSF supported areas and encourages proposals in areas of national interest, such as artificial intelligence, data science and analytics; advanced materials, manufacturing, robotics; cybersecurity; plant genetics/agricultural technologies; quantum information sciences; nanotechnology, semiconductors/microelectronics technologies; climate change and clean energy.
_x000D_
CREST-RISE projects must have a direct connection to the long-term plans of the host department(s) and the institution s strategic plan and mission. Project plans should emphasize activities designed to increase the production of research doctoral students, especially those underrepresented in STEM as well as expand institutional research capacity.
_x000D_
The goals of CREST-RISE are to increase: 1) the number of STEM research doctoral programs at MSIs (as defined in the Eligibility section), 2) the number of STEM research doctoral students graduating from MSIs, especially those from groups underrepresented in STEM, and 3) institutional research capacity to increase doctoral students  graduation rates.To achieve these goals, the CREST-RISE program includes three tracks as follows:
_x000D_
_x000D_
CREST-RISE STEM Doctoral Programs Support Initiative (CREST-RISE DPSI)_x000D_
CREST-RISE Research Advancement and Development (CREST-RISE RAD)_x000D_
CREST-RISE Equipment   Instrumentation (CREST-RISE E I)_x000D_
</t>
  </si>
  <si>
    <t>Data Science Corps</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</si>
  <si>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t>
  </si>
  <si>
    <t>The objective of the Data Science Corps program is to help build a strong national data science infrastructure and workforce. The Data Science Corps program seeks to engage data science students in real-world data science implementation projects. This engagement will help bridge the data-to-knowledge gap in organizations and communities at all levels, including local, state, and national, and will empower better use of data for more effective decision making. Data Science Corps participants will be able to sharpen their skills in data science by working on real-world projects focused on specific community needs, including rural communities, urban communities, academia, industry, or government. This partnership between communities and data scientists will serve the nation by helping produce a workforce-ready cohort of data scientists and technologists, who have experience with data science in action in real-world settings. The program welcomes proposals that seek to broaden participation inscience, technology, engineering and mathematics (STEM) and STEM education.
_x000D_
This solicitation prompts the community to respond to one or more mechanisms by which to provide students with data science education and training, including in data science issues related to knowledge representation and creation and use of knowledge graphs. The solicitation supports opportunities for undergraduates (including students from community colleges, Minority Serving Institutions, other emerging research institutions as defined in the CHIPS and Science Act, https://www.congress.gov/bill/117th-congress/house-bill/4346, and institutions in EPSCoR jurisdictions), and grade 6-12 teachers and students. When responding to this solicitation, even though proposals must be submitted through theDirectorate for STEM Education, Division of Research on Learning in Formal and Informal Settings (EDU/DRL), once received, the proposals will be managed by a cross-disciplinary team of NSF Program Directors
_x000D_
This solicitation grew out of the NSF-wide activity known as Harnessing the Data Revolution (HDR), a national-scale activity to enable new modes of data-driven discovery addressing fundamental questions at the frontiers of science and engineering. HDR has supported an interrelated set of efforts in foundations of data science; data-intensive research in science and engineering; and education and workforce development.
_x000D_
_x000D_
Contact Information:
_x000D_
Please note that the following information is current at the time of publishing. See program website for any updates to the points of contact.
_x000D_
  General inquiries may be addressed to HDR-DSC@nsf.gov.</t>
  </si>
  <si>
    <t>Ovarian Cancer Clinical Trial Award</t>
  </si>
  <si>
    <t>The OCRP Clinical Trial Award supports the rapid implementation of clinical trials with the potential to have a significant impact on the treatment or management of ovarian cancer. Clinical trials may be designed to evaluate promising new products, pharmacologic agents (drugs or biologics), devices, clinical guidance, and/or emerging approaches and technologies. Proposed projects may range from small proof-of-concept trials (e.g., pilot, first-in-human, phase 0) to demonstrate the feasibility or inform the design of more advanced trials through large-scale trials to determine efficacy in relevant patient populations.</t>
  </si>
  <si>
    <t>Ovarian Cancer Research Program Investigator-Initiated Research Award</t>
  </si>
  <si>
    <t>The OCRP Investigator-Initiated Research Award is intended to support high-impact research that addresses a critical need and has the potential to make an important contribution to ovarian cancer or patient/survivor care. Research projects may focus on any phase of research, from basic laboratory research through translational research, excluding clinical trials. The application must demonstrate logical reasoning and a sound scientific rationale established through a critical review and analysis of the literature for the application to be competitive. Applications must include preliminary data that are relevant to ovarian cancer and support the proposed research project. These data may be unpublished or from the published literature.</t>
  </si>
  <si>
    <t>DoD Ovarian Cancer Research Program Ovarian Cancer Academy - Leadership Award</t>
  </si>
  <si>
    <t>The OCRP seeks to advance ovarian cancer research through development of early-career investigators. The OCRP Ovarian Cancer Academy (OCA) is a unique, interactive environment providing intensive mentoring, national networking, collaborations, and a peer group for junior faculty to move ovarian cancer research into a new frontier. The overarching goal of the OCA is to develop successful, highly productive ovarian cancer researchers in a collaborative research and career development environment to enhance quality and expand quantity of the ovarian cancer research field.</t>
  </si>
  <si>
    <t>DoD Ovarian Cancer Research Program Pilot Award</t>
  </si>
  <si>
    <t>The OCRP Pilot Award supports the exploration of innovative concepts or theories in ovarian cancer that could ultimately lead to critical discoveries or major advancements that will drive the field forward. The proposed research must demonstrate a clear focus on ovarian cancer (e.g., using tissues, cell lines, datasets, or appropriate animal models), and serve as a catalyst to expand or modify current thinking about and/or approaches in ovarian cancer. If cell lines or animals are to be used, a clear justification should be provided for the choice of proposed cell line(s) or animal model(s).</t>
  </si>
  <si>
    <t>DoD Ovarian Cancer Clinical Trial Translational Endpoints Research Award</t>
  </si>
  <si>
    <t>The FY24 OCRP Clinical Trial Translational Endpoints Research Award intends to support correlation of clinical trial-related data (e.g., biosample analysis, imaging, or epidemiological data) with clinical outcomes or responses to therapies. Correlative studies may be associated with a past, ongoing, or future clinical trial in order to associate various factors (genetic, DOD FY24 Ovarian Cancer Clinical Trial Translational Endpoints Research Award 4biochemical, environmental and others) with initiation, progression, metastasis, recurrence, prognosis, diagnosis or effect of intervention on ovarian cancer outcomes. The translational research should address high-impact or unmet needs in ovarian cancer. The proposed research may be hypothesis testing or may be designed to generate new hypotheses to be tested in follow-up clinical research. The award may not be used to directly support a clinical trial.</t>
  </si>
  <si>
    <t>Strategic Trade Facilitation in Southeast Asia: Promoting U.S.-Philippines and U.S.-Vietnam Technology Partnerships</t>
  </si>
  <si>
    <t>To implement a project aimed at advancing U.S. foreign policy and national security priorities outlined in the Creating Helpful Incentives to Produce Semiconductors (CHIPS) Act of 2022 (Div. A, P.L. 117-167). The Act established a new International Technology Security and Innovation Fund (ITSI Fund) to â€œto support the development and adoption of secure semiconductors, [and] semiconductor supply chainsâ€ with the goal to make the global semiconductor supply chain more resilient, diversified, and secure.</t>
  </si>
  <si>
    <t>Building a Community of Practice for Women in Strategic Trade (WiST)</t>
  </si>
  <si>
    <t>DoD Breast Cancer, Breakthrough Award</t>
  </si>
  <si>
    <t>The intent of the Breakthrough Award is to support promising research that has high potential to lead to or make breakthroughs in breast cancer. The critical components of this award mechanism are:Impact: Research supported by the Breakthrough Award will have the potential for a major impact and accelerate progress toward ending breast cancer. The impact may be near-term or long-term, but must move beyond a minor advancement and have the potential to lead to a fundamentally new approach that is significantly more effective than interventions already approved or in clinical development. Applications are expected to identify the breast cancer patients or at-risk individuals who would ultimately benefit from the proposed research.Research Scope: The Breakthrough Award is structured with four different funding levels. The levels are designed to support major (but not all) stages of research that will lead to clinical application. Each level has a defined research scope. It is the responsibility of the Principal Investigator (PI) to select the level that aligns with the scope of the proposed research. The funding level should be selected based on the research scope defined in the program announcement, and not on the amount of the budget.The current program announcement discusses the Breakthrough Award Level 3. Funding Levels 1, 2, and 4 are available under other program announcements (HT942524BCRPBTA12 for Levels 1 and 2 and HT942524BCRPBTA4 for Level 4). The PI is strongly encouraged to review the research scope defined under each funding level as described in the corresponding Breakthrough Award program announcements before submitting the pre-application. An application that does not meet the intent of the funding level selected will not be recommended for funding, even if it might meet the intent of a different funding level.The following is a general description, although not all-inclusive, of the scope of research projects that would be appropriate to propose under the current program announcement:Funding Level 3: Advanced translational studies with a high degree of project readiness. Where relevant, proof of availability of and access to necessary data, human samples, cohort(s), and/or critical reagents must be provided. If the proposed research would ultimately require U.S. Food and Drug Administration (FDA) involvement, applications must demonstrate availability of, and access to, clinical reagents (e.g., therapeutic molecules) and patient population(s). Applications must state a realistic timeline for near-term clinical investigation. Small-scale clinical trials (e.g., first in human, phase 1/1b) may be appropriate.Partnering PI Option: The Breakthrough Award encourages applications that include meaningful and productive partnerships between investigators. The Partnering PI Option is structured to accommodate two PIs. One PI will be identified as the Initiating PI and will be responsible for the majority of the administrative tasks associated with application submission. The other PI will be identified as a Partnering PI. Both PIs should contribute significantly to the development of the proposed research project, including the Project Narrative, Statement of Work (SOW), and other required components. The PIs may have expertise in similar or disparate scientific disciplines, but each PI is expected to bring distinct contributions to the application. The application should clearly demonstrate that both PIs have equal intellectual input into the design of the project and will devote similar and appropriate levels of effort to the conduct of the project. It is expected that funding will be balanced between both PIs unless appropriately justified. New partnerships are encouraged, but not required. The application is expected to describe how the PIsâ€™ unique expertise combined as a partnership will better address the research question, how the unique expertise that each individual brings to the application is critical for the research strategy and completion of the SOW, and why the work should be done together rather than through separate efforts. To meet the intent of the Partnering PI Option, applicants are discouraged from being named as a Partnering PI on multiple Breakthrough Award Level 3 applications unless they are clearly addressing distinct research questions. Applications where one PI is providing samples, animal models, or investigational agents while the other PI is conducting most or all of the experiments and analyses do not meet the intent of the Partnering PI Option. If recommended for funding, each PI will be named on separate awards to the recipient organization(s). Each award will be subject to separate reporting, regulatory, and administrative requirements. For individual submission requirements for the Initiating and Partnering PIs, refer to Section II.D.2, Content and Form of the Application Submission.Personnel: Applications are expected to include an appropriate and robust research team with the combined backgrounds and breast cancer-related expertise to enable successful conduct of the project.Consumer Advocates: Applications are required to include consumer advocate involvement. The research team must include two or more breast cancer consumer advocates, who will be integral throughout the planning and implementation of the research project. Consumer advocates should be involved in the development of the research question, project design, oversight, recruitment, and evaluation, as well as other significant aspects of the proposed project. Interactions with other team members should be well integrated and ongoing, not limited to attending seminars and semi-annual meetings. As lay representatives, the consumer advocates must be individuals who have been diagnosed with breast cancer, and they should be active in a breast cancer advocacy organization. Their role in the project should be independent of their employment, and they cannot be employees of any of the organizations participating in the application. Their role should be focused on providing objective input on the research and its potential impact for individuals with, or at risk for, breast cancer. The consumer advocates should have a high level of knowledge of current breast cancer issues and the appropriate background and/or training in breast cancer research to contribute to the project.A congressionally mandated Metastatic Cancer Task Force was formed with the purpose of identifying ways to help accelerate clinical and translational research aimed at extending the lives of advanced state and recurrent patients. As a member of the Metastatic Cancer Task Force, CDMRP encourages applicants to review the recommendations (https://health.mil/Reference-Center/Congressional-Testimonies/2018/05/03/Metastatic-Cancer-Research) and submit research ideas to address these recommendations provided they are within the limitations of this funding opportunity and fit within the FY24 BCRP priorities.Innovative research involving nuclear medicine and related techniques to support early diagnosis, more effective treatment, and improved health outcomes of active-duty Service Members and their Families is encouraged. Such research could improve diagnostic and targeted treatment capabilities through noninvasive techniques and may drive the development of precision imaging and advanced targeted therapies.The proposed research must be relevant to active-duty Service Members, Veterans, military beneficiaries, and/or the American public. Collaborations between researchers at military or Veteran institutions and non-military institutions are strongly encouraged. These relationships can leverage knowledge, infrastructure, and access to unique clinical populations that the partners bring to the research effort, ultimately advancing cancer research that is of significance to the Warfighter, military Families, and the American public.Title 45, Part 46.102 (45 CFR 46.102) as a research study in which one or more human subjects are prospectively assigned to one or more interventions (which may include a placebo or another control) to evaluate the effects of the interventions on biomedical or behavioral health-related outcomes.Studies that do not seek to measure safety, effectiveness, and/or efficacy outcome(s) of an intervention are not considered clinical trials.For the purposes of this funding opportunity, research that meets the definition of a clinical trial is distinct from clinical research. Clinical research encompasses research with human data, human specimens, and/or interaction with human subjects. Clinical research is observational in nature and includes:(1) Research conducted with human subjects and/or material of human origin such as data, specimens, and cognitive phenomena for which an investigator (or co-investigator) does not seek to assess the safety, effectiveness, and/or efficacy outcomes of an intervention. Research meeting this definition may include but is not limited to: (a) mechanisms of human disease, (b) diagnostic or detection studies (e.g., biomarker or imaging), (c) health disparity studies, and (d) development of new technologies.(2) Epidemiologic and behavioral studies that do not seek to assess the safety, effectiveness, and/or efficacy outcomes of an intervention.(3) Outcomes research and health services research that do not fit under the definition of clinical trial.Excluded from the definition of clinical research are in vitro studies that utilize human data or specimens that cannot be linked to a living individual and meet the requirements for exemption under Â§46.104(d)(4) of the Common Rule.The funding instrument for awards made under the program announcement will be grants (31 USC 6304).The anticipated direct costs budgeted for the entire period of performance for an FY24 BCRP Breakthrough Award Level 3 should not exceed $4M for applications with a single PI or $5M if applying under the Partnering PI Option. Refer to Section II.D.5, Funding Restrictions, for detailed funding information.Awards supported with FY24 funds will be made no later than September 30, 2025.The CDMRP expects to allot approximately $13.95M to fund approximately two BCRP Breakthrough Award Level 3 applications. Funding of applications received is contingent upon the availability of federal funds for this program, the number of applications received, the quality and merit of the applications as evaluated by peer and programmatic review, and the requirements of the government. Funds to be obligated on any award resulting from this funding opportunity will be available for use for a limited time period based on the fiscal year of the funds. It is anticipated that awards made from this FY24 funding opportunity will be funded with FY24 funds, which will expire for use on September 30, 2030.</t>
  </si>
  <si>
    <t>Regional Alliances and Multistakeholder Partnerships to Stimulate (RAMPS) Cybersecurity Education and Workforce Development</t>
  </si>
  <si>
    <t>Others (see text field entitled "Additional Information on Eligibility" for clarification) Eligibility for the program listed in this NOFO is open to all non-Federal entities. Eligible applicants include accredited institutions of higher education; non-profit organizations; for-profit organizations incorporated in the United States; State, local, Territorial, and Indian Tribal governments; foreign public entities; and foreign organizations. Please note that individuals and unincorporated sole proprietors are not considered  non-Federal entities  and are not eligible to apply under this NOFO. Although Federal entities are not eligible to receive funding under this NOFO, they may participate as unfunded collaborators.</t>
  </si>
  <si>
    <t>The NIST National Initiative for Cybersecurity Education (NICE) is seeking applications from eligible applicants for activities to establish community-based partnerships to develop cybersecurity career pathways that address local workforce needs. Effective multistakeholder workforce partnerships will organize multiple employers with skill shortages in specific occupations to focus on developing the skilled workforce to meet industry needs within the local or regional economy.</t>
  </si>
  <si>
    <t>Rehabilitation Research and Training Center (RRTC) on Improving Employment Outcomes Among People with Serious Mental Illness</t>
  </si>
  <si>
    <t>Native American tribal governments (Federally recognized) States; public or private agencies, including for-profit agencies; public or private organizations, including for-profit organizations; IHEs; and Indian tribes and tribal organizations. Foreign entities are not eligible to compete for, or receive, awards made under this announcement. Faith-based and community organizations that meet the eligibility requirements are eligible to receive awards under this funding opportunity announcement.</t>
  </si>
  <si>
    <t>The purpose of the RRTCs, which are funded through the Disability and Rehabilitation Research Projects and Centers Program, is to achieve the goals of, and improve the effectiveness of, services authorized under the Rehabilitation Act through well-designed research, training, technical assistance, and dissemination activities in important topical areas as specified by NIDILRR. These activities are designed to benefit people with disabilities, family members, rehabilitation service providers, policymakers and other research stakeholders.  The purpose of this particular RRTC is to conduct research, training, technical assistance, and related activities to contribute to improved employment outcomes of adults with Serious Mental Illness. NIDILRR plans to make one grant under this opportunity. The grant will have a 60-month project period, with five 12-month budget periods.</t>
  </si>
  <si>
    <t>Rehabilitation Research and Training Center (RRTC) on Transition to Employment among Youth and Young Adults with Serious Mental Health Conditions</t>
  </si>
  <si>
    <t>The purpose of the RRTCs, which are funded through the Disability and Rehabilitation Research Projects and Centers Program, is to achieve the goals of, and improve the effectiveness of, services authorized under the Rehabilitation Act through well-designed research, training, technical assistance, and dissemination activities in important topical areas as specified by NIDILRR. These activities are designed to benefit people with disabilities, family members, rehabilitation service providers, policymakers and other research stakeholders.  The purpose of this particular RRTC is to conduct research, training, technical assistance, and related activities to contribute to improved employment outcomes among youth and young adults with serious mental health conditions. NIDILRR plans to make one grant under this opportunity. The grant will have a 60-month project period, with five 12-month budget periods.</t>
  </si>
  <si>
    <t>The intent of the Breakthrough Award is to support promising research that has high potential to lead to or make breakthroughs in breast cancer. The critical components of this award mechanism are:Impact: Research supported by the Breakthrough Award will have the potential for a major impact and accelerate progress toward ending breast cancer. The impact may be near-term or long-term, but must move beyond a minor advancement and have the potential to lead to a fundamentally new approach that is significantly more effective than interventions already approved or in clinical development. Applications are expected to identify the breast cancer patients or at-risk individuals who would ultimately benefit from the proposed research.Research Scope: The Breakthrough Award is structured with four different funding levels. The levels are designed to support major (but not all) stages of research that will lead to clinical application. Each level has a defined research scope. It is the responsibility of the Principal Investigator (PI) to select the level that aligns with the scope of the proposed research. The funding level should be selected based on the research scope defined in the program announcement, and not on the amount of the budget.The current program announcement discusses the Breakthrough Award Level 4. Funding Levels 1, 2, and 3 are available under other program announcements (HT942524BCRPBTA12 for Levels 1 and 2 and HT942524BCRPBTA3 for Level 3). The PI is strongly encouraged to review the research scope defined under each funding level as described in the corresponding Breakthrough Award program announcements before submitting the pre-application. An application that does not meet the intent of Funding Level 4 will not be recommended for funding, even if it might meet the intent of a different funding level.The following is a general description, although not all-inclusive, of the scope of research projects that would be appropriate to propose under the current program announcement:Funding Level 4: Large-scale projects that will transform and revolutionize the clinical management and/or prevention of breast cancer. Human clinical trials are required. Large-scale trials, such as comparative effectiveness clinical trials, that will transform and revolutionize the clinical management and/or prevention of breast cancer and lead to unprecedented impact on patientsâ€™ lives, may fall under this mechanism. PIs are expected to have experience in successfully leading large-scale projects and demonstrated ability (through personal experience or via a commitment from a collaborating clinical investigator) to implement a clinical trial successfully. Where relevant, applications must demonstrate availability of and access to necessary data, human samples, cohort(s), and/or critical reagents. For proposed research that will require U.S. Food and Drug Administration (FDA) involvement, project readiness requirements at the time of application submission include: proof of availability of and access to clinical reagents (e.g., therapeutics) that meet regulatory compliance guidelines, proof of availability of and access to appropriate subject population(s), validated projections for patient recruitment, and submission of an Investigational New Drug (IND) or Investigational Device Exemption (IDE) application to the FDA, if applicable.Funding from this award mechanism must support a clinical trial. A clinical trial is defined in the Code of Federal Regulations, Title 45, Part 46.102 (45 CFR 46.102) as a research study in which one or more human subjects are prospectively assigned to one or more interventions (which may include a placebo or another control) to evaluate the effects of the interventions on biomedical or behavioral health-related outcomes.Studies that do not seek to measure safety, effectiveness, and/or efficacy outcome(s) of an intervention are not considered clinical trials.For more information, a Human Subject Resource Document is provided at https://cdmrp.health.mil/pubs/pdf/Human%20Subjects%20Resource%20Document_DEC2022.pdf.Note: An invited oral presentation is a requirement for application review of Funding Level 4 projects, as described in Section II.D.2.b, Full Application Submission Content.Partnering PI Option: The Breakthrough Award encourages applications that include meaningful and productive partnerships between investigators. The Partnering PI Option is structured to accommodate two PIs. One PI will be identified as the Initiating PI and will be responsible for the majority of the administrative tasks associated with application submission. The other PI will be identified as a Partnering PI. Both PIs should contribute significantly to the development of the proposed research project including the Project Narrative, Statement of Work (SOW), and other required components. The PIs may have expertise in similar or disparate scientific disciplines, but each PI is expected to bring distinct contributions to the application. The application should clearly demonstrate that both PIs have equal intellectual input into the design of the project and will devote similar and appropriate levels of effort to the conduct of the project. It is expected that funding will be balanced between both PIs unless appropriately justified. New partnerships are encouraged, but not required. The application is expected to describe how the PIsâ€™ unique expertise combined as a partnership will better address the research question, how the unique expertise that each individual brings to the application is critical for the research strategy and completion of the SOW, and why the work should be done together rather than through separate efforts. To meet the intent of the Partnering PI Option, applicants are discouraged from being named as a Partnering PI on multiple Breakthrough Award Level 4 applications unless they are clearly addressing distinct research questions. Applications where one PI is providing samples or investigational agents while the other PI is performing most or all of the research and analyses do not meet the intent of the Partnering PI Option. If recommended for funding, each PI will be named on separate awards to the recipient organization(s). Each award will be subject to separate reporting, regulatory, and administrative requirements. For individual submission requirements for the Initiating and Partnering PIs, refer to Section II.D.2, Content and Form of the Application Submission.Personnel: Applications are expected to include an appropriate and robust research team with the combined backgrounds and breast cancer-related expertise to enable successful conduct of the project.Consumer Advocates: Applications are required to include consumer advocate involvement. The research team must include two or more breast cancer consumer advocates, who will be integral throughout the planning and implementation of the research project. Consumer advocates should be involved in the development of the research question, project design, oversight, recruitment, and evaluation, as well as other significant aspects of the proposed project. Interactions with other team members should be well integrated and ongoing, not limited to attending seminars and semi-annual meetings. As lay representatives, the consumer advocates must be individuals who have been diagnosed with breast cancer, and they should be active in a breast cancer advocacy organization. Their role in the project should be independent of their employment, and they cannot be employees of any of the organizations participating in the application. Their role should be focused on providing objective input on the research and its potential impact for individuals with, or at risk for, breast cancer. The consumer advocates should have a high level of knowledge of current breast cancer issues and the appropriate background and/or training in breast cancer research to contribute to the project.Key Aspects of the BCRP Breakthrough Award Level 4 Mechanism:â€¢ Preliminary data are required: Inclusion of preliminary data relevant to the proposed clinical trial is required.â€¢ Study Population: The application should demonstrate the availability of and access to a suitable patient population that will support a meaningful outcome for the study. The application should include a discussion of how accrual goals will be achieved, as well as the strategy for inclusion of women and minorities in the clinical trial appropriate to the objectives of the study. Studies utilizing human biospecimens or datasets that cannot be linked to a specific individual, gender, ethnicity, or race (typically classified as exempt from Institutional Review Board [IRB] review) are exempt from this requirement.â€¢ Intervention Availability: The application should demonstrate the documented availability of and access to the drug/compound, device, and/or other materials needed, as appropriate, for the proposed duration of the study.â€¢ Personnel and Environment: The application should demonstrate the study teamâ€™s expertise and experience in all aspects of conducting clinical trials, including appropriate statistical analysis, knowledge of FDA processes (if applicable), and data management. The application should include a study coordinator(s) who will guide the clinical protocol through the local IRB of record and other federal agency regulatory approval processes, coordinate activities from all sites participating in the trial, and coordinate participant accrual. The application should show strong institutional support and, if applicable, a commitment to serve as the FDA regulatory sponsor, ensuring all sponsor responsibilities described in the Code of Federal Regulations, Title 21, Part 312 (21 CFR 312), Subpart D, are fulfilled. â€¢ Statistical Analysis and Data Management Plans: The application should include a clearly articulated statistical analysis plan, a power analysis reflecting sample size projections that will answer the objectives of the study, and a data management plan that includes use of an appropriate database to safeguard and maintain the integrity of the data. If required by a Regulatory Agency, the trial must use a 21 CFR 11-compliant database and appropriate data standards.A congressionally mandated Metastatic Cancer Task Force was formed with the purpose of identifying ways to help accelerate clinical and translational research aimed at extending the lives of advanced state and recurrent patients. As a member of the Metastatic Cancer Task Force, the CDMRP encourages applicants to review the recommendations (https://health.mil/Reference-Center/Congressional-Testimonies/2018/05/03/Metastatic-Cancer-Research) and submit research ideas to address these recommendations provided they are within the limitations of this funding opportunity and fit within the FY24 BCRP priorities.Innovative research involving nuclear medicine and related techniques to support early diagnosis, more effective treatment, and improved health outcomes of active-duty Service Members and their Families is encouraged. Such research could improve diagnostic and targeted treatment capabilities through noninvasive techniques and may drive the development of precision imaging and advanced targeted therapies.The proposed research must be relevant to active-duty Service Members, Veterans, military beneficiaries, and/or the American public. Collaborations between researchers at military or Veteran institutions and non-military institutions are strongly encouraged. These relationships can leverage knowledge, infrastructure, and access to unique clinical populations that the partners bring to the research effort, ultimately advancing cancer research that is of significance to the Warfighter, military Families, and the American public.For the purposes of this funding opportunity, Regulatory Agency refers to the FDA or any relevant international regulatory agency unless otherwise noted.If the proposed clinical trial involves the use of a drug that has not been approved by the relevant Regulatory Agency for the country where the research will be conducted, then submission of an IND application, or equivalent, that meets all requirements under 21 CFR 312 may be required. It is the responsibility of the applicant to provide evidence from the IRB of record or the relevant Regulatory Agency if an IND, or equivalent, is not required. If an IND, or equivalent, is required, the regulatory application must be submitted to the relevant regulatory agency by the Breakthrough Award Level 4 application submission deadline. The IND, or equivalent, should be specific for the product and indication to be tested in the proposed clinical trial. For more information on IND applications specifically, the FDA has provided guidance at https://www.fda.gov/drugs/types-applications/investigational-new-drug-ind-application.If the investigational product is a device, then submission of an IDE, or equivalent, application that meets all requirements under 21 CFR 812 may be required. It is the responsibility of the applicant to provide evidence if an IDE, or equivalent, is not required. If an IDE, or equivalent, is required, the IDE application, or equivalent, must be submitted to the relevant Regulatory Agency by the Breakthrough Award Level 4 application submission deadline. The IDE, or equivalent, should be specific for the device and indication to be tested in the proposed clinical trial.The types of awards made under the program announcement will be cooperative agreements (31 USC 6305) based on anticipated â€œsubstantial involvementâ€ on the part of CDMRP. Substantial involvement includes assistance, guidance, coordination, and/or participation by CDMRP staff in project activities, including but not limited to, Milestone Meetings wherein recommendations for continued funding will be made based on overall study progress.The anticipated direct costs budgeted for the entire period of performance for an FY24 BCRP BTA4 should not exceed $15M. Refer to Section II.D.5, Funding Restrictions, for detailed funding information.Awards supported with FY24 funds will be made no later than September 30, 2025.The CDMRP expects to allot approximately $23.3M to fund approximately one Breakthrough Award Level 4 application. Funding of applications received is contingent upon the availability of federal funds for this program, the number of applications received, the quality and merit of the applications as evaluated by peer and programmatic review, and the requirements of the government. Funds to be obligated on any award resulting from this funding opportunity will be available for use for a limited time period based on the fiscal year of the funds. It is anticipated that awards made from this FY24 funding opportunity will be funded with FY24 funds, which will expire for use on September 30, 2030.</t>
  </si>
  <si>
    <t>DoD Peer Reviewed Alzheimer s Transforming Diagnosis Award</t>
  </si>
  <si>
    <t>The TrDA is intended to improve diagnosis now. Proposed projects must build knowledge, capacity, technology, and/or research to reduce or overcome important barriers to obtaining a diagnosis, meaningful disease monitoring, and accurate prognosis. Barriers could include, but are not limited to, technologies, cost, equitable patient access, applicability, structural and social determinants of health, clinical implementation, relationship to clinical outcome measures, biomarker validation, lack of longitudinal data to inform prediction/prognosis, and more. The investigator must clearly attune their project to provide true benefit to people living with AD/ADRD diagnoses and their families. All applications submitted to this funding opportunity must clearly indicate how the project addresses an important barrier, explain how the research will be representative of the population it intends to benefit, and demonstrate cultural competence. Culturally competent research factors the cultural background and diversity of the intended beneficiaries of the research outcomes when developing research ideas, conducting research, and implementing the research findings. Cultural competency in research is critical in reducing health disparities and enhancing the quality and impact of research by ensuring inclusivity, understanding, and responsiveness to the needs of diverse populations.Key elements of this award mechanism are:Â· Clear pathway to applicability: To meet the intent of this mechanism, applications should be focused on a clear pathway to clinical applicability. Proposed projects should identify and begin to address gaps limiting advances in equitable, accessible, and rapid diagnosis and/or prognosis. Gaps may include but are not limited to technologies, state of the science, health equity, biomarker applicability, and more. Applications that do not clearly delineate how the proposed project addresses and/or overcomes barriers to accessible and viable diagnosis and/or prognosis do not meet the intent of this mechanism.Â· Non-incremental advance: Proposed research should demonstrate an appreciable advance on the current state of the field. As such, preliminary data are required.Â· Person-focused research: For diagnostic/prognostic outcomes proposed by the research to be successful, those impacted by AD/ADRD diagnoses need to buy into the approach. This means researchers should design their projects to focus on the people who need the outcomes most and partner with them. For the FY24 PRARP TrDA, inclusion of Community collaboration is required for all projects.The proposed project should leverage existing resources, where possible, and must ensure the advances proposed by the project aims are representative and applicable to diverse populations, especially including women. Careful consideration of equitable, representative inclusion of the study populations is essential to ensuring AD/ADRD diagnostic or prognostic solutions are of benefit to all and that this is a high priority for the program.For this mechanism, the investigator will host a Community meeting with a facilitated discussion, to occur within the first three quarters of the period of performance, that will help inform the execution of the research. This meeting should involve the intended research population and their Community. The intent of this meeting is to gather feedback and input that will inform the execution of the research, optimize and refine research questions and execution as well as help inform the dissemination strategy of the research outcomes.Â· Optimizing research impact through Community collaboration: Research funded by the FY24 PRARP should be responsive to the needs of persons with AD/ADRD lived experience, family, and/or care provider communities (referred to as Community/ies from hereon in the Funding Opportunity). Establishment and utilization of effective and equitable collaborations and partnerships maximizes the near-term translational and impact potential of the proposed research. Collaborative research approaches feature shared responsibility and ownership for the research project to ensure fully integrated involvement of Community members within the research team. Collaborative research approaches such as Community-based participatory research, participatory action research, and integrated knowledge transition generate partnerships between scientific researchers and Community members to create knowledge useable by both sets of stakeholders. Recognizing the strengths of each partner, scientific researchers and Community members must collaborate and contribute their expertise equitably on all aspects of the project, which may include needs assessment, planning, research intervention design, implementation, evaluation, and dissemination. Research results are jointly interpreted, disseminated, fed back to affected communities, and may be translated into interventions or policy. These methods are critically important for Community-level interventions and can also augment the potential impact of a research program on people living with dementia, their families, and/or their care partners.These collaborative relationships are often established through integrating Community members into research teams as co-researchers, advisors, and consultants. Some examples for Community collaborations include:	o Lived Experience Consultation: The research team includes at least one project advisor with AD/ADRD experience who will integrate with the research team to provide consultation throughout the planning, implementation, and dissemination of the research project. Lived experience consultants (LECs) may include individuals with AD/ADRD, their family members, care partners/caregivers, or others as appropriate.o Partnership with a Community-Based Organization: The research team establishes partnerships with at least one Community-based organization that provides consultation throughout the planning, implementation, and dissemination of the research project. Community-based organizations may include advocacy groups, service providers, policymakers, or other formal organizational stakeholders.o Community Advisory Board (CAB): A CAB is composed of multiple Community stakeholders and can take many forms, from a board of LECs to a coalition of Community-based organizations or any combination thereof. As with LECs and organizational partners, the CAB provides consultation throughout the planning, implementation, and dissemination of the research project.</t>
  </si>
  <si>
    <t>Disability and Rehabilitation Research Projects (DRRP) Program: Disability and Pregnancy</t>
  </si>
  <si>
    <t>Public and State controlled institutions of higher education States; public or private agencies, including for-profit agencies; public or private organizations, including for-profit organizations; IHEs; and Indian tribes and tribal organizations. Foreign entities are not eligible to compete for, or receive, awards made under this announcement. Faith-based and community organizations that meet the eligibility requirements are eligible to receive awards under this funding opportunity announcement.</t>
  </si>
  <si>
    <t>The purpose of the Disability and Rehabilitation Research Projects (DRRP) is to plan and conduct research, demonstration projects, training, and related activities, including international activities, to develop methods, procedures, and rehabilitation technology that maximize the full inclusion and integration into society, employment, independent living, family support, and economic and social self-sufficiency of individuals with disabilities, especially individuals with disabilities who have the greatest support needs, and to improve the effectiveness of services authorized under the Rehabilitation Act of 1973, as amended (Rehabilitation Act). Under this particular DRRP priority, the grantee must conduct research toward maternal health services or interventions to improve pregnancy outcomes among women with long-term disabilities. NIDILRR plans to make one award under this opportunity in FY 2024. The grant will have a 60-month project period, with five 12-month budget periods.</t>
  </si>
  <si>
    <t>The intent of the Breakthrough Award is to support promising research that has high potential to lead to or make breakthroughs in breast cancer. The critical components of this award mechanism are:Impact: Research supported by the Breakthrough Award will have the potential for a major impact and accelerate progress toward ending breast cancer. The impact may be near-term or long-term but must move beyond a minor advancement and have the potential to lead to a fundamentally new approach that is significantly more effective than interventions already approved or in clinical development. Applications are expected to identify the breast cancer patients or at-risk individuals who would ultimately benefit from the proposed research.Research Scope: The Breakthrough Award is structured with four different funding levels. The levels are designed to support major (but not all) stages of research that will lead to clinical application. Each level has a defined research scope. It is the responsibility of the Principal Investigator (PI) to select the level that aligns with the scope of the proposed research. The funding level should be selected based on the research scope defined in the program announcement, and not on the amount of the budget.The current program announcement discusses the Breakthrough Award Levels 1 and 2. Funding Levels 3 and 4 are available under other program announcements (HT942524BCRPBTA3 and HT942524BCRPBTA4, respectively). The PI is strongly encouraged to review the research scope defined under each funding level as described in the corresponding Breakthrough Award program announcement before submitting the pre-application. An application that does not meet the intent of the funding level selected will not be recommended for funding, even if it might meet the intent of a different funding level.The following are general descriptions, although not all-inclusive, of the scope of research projects that would be appropriate to propose under the current program announcement:â€¢ Funding Level 1: Innovative, high-risk/high-reward research that is in the earliest stages of idea development or is an untested theory that addresses an important problem. To foster research that yields new avenues of investigation, preliminary data are not required. Proof of concept is the anticipated outcome.â€¢ Funding Level 2: Research that is already supported by substantial preliminary or published data and strongly validates clinical translation in a well-defined context within thebreast cancer landscape.â€¢ Funding Level 2: Population Science and Prevention Studies: Population Science and Prevention Studies should involve investigations into why certain human patient populations differ in cancer risk or clinical prognosis. The studies should focus on the analysis of human data and biospecimens. Research should be already supported by substantial preliminary or published data and strongly validate clinical translation in a well-defined context within the breast cancer landscape. With compelling justification, population science and prevention studies may request higher levels of funding and an additional year in the period of performance.Partnering PI Option: The Breakthrough Award encourages applications that include meaningful and productive partnerships between investigators. The Partnering PI Option is structured to accommodate two PIs. One PI will be identified as the Initiating PI and will be responsible for the majority of the administrative tasks associated with application submission. The other PI will be identified as a Partnering PI. Both PIs should contribute significantly to the development of the proposed research project, including the Project Narrative, Statement of Work (SOW), and other required components. The PIs may have expertise in similar or disparate scientific disciplines, but each PI is expected to bring distinct contributions to the application. The application should clearly demonstrate that both PIs have equal intellectual input into the design of the project and will devote similar and appropriate levels of effort to the conduct of the project. It is expected that funding will be balanced between both PIs unless appropriately justified. New partnerships are encouraged, but not required. The application is expected to describe how the PIsâ€™ unique expertise combined as a partnership will better address the research question, how the unique expertise that each individual brings to the application is critical for the research strategy and completion of the SOW, and why the work should be done together rather than through separate efforts. To meet the intent of the Partnering PI Option, applicants are discouraged from being named as a Partnering PI on multiple Breakthrough Award Levels 1 and 2 applications unless they are clearly unique, meaningful partnerships addressing distinct research questions. Applications in which a mentor and their current postdoctoral fellow or junior investigator are named as Initiating and Partnering PIs do not meet the intent of the Partnering PI Option. Applications where one PI is providing samples, animal models, or investigational agents while the other PI is conducting most, or all of the experiments and analyses, do not meet the intent of the Partnering PI Option. If recommended for funding, each PI will be named on separate awards to the recipient organization(s). Each award will be subject to separate reporting, regulatory, and administrative requirements. For individual submission requirements for the Initiating and Partnering PIs, refer to Section II.D.2, Content and Form of the Application Submission.Personnel: Applications are expected to include an appropriate and robust research team with the combined backgrounds and breast cancer-related expertise to enable successful conduct of the project.Research involving human subjects and research involving human anatomical substances and data is permitted; however, clinical trials are not allowed under this funding opportunity.Applications seeking support for a clinical trial may be submitted to the FY24 BCRP Breakthrough Award Level 3 and Level 4 program announcements (HT942524BCRPBTA3 and HT942524BCRPBTA4, respectively).A congressionally mandated Metastatic Cancer Task Force was formed with the purpose of identifying ways to help accelerate clinical and translational research aimed at extending the lives of advanced state and recurrent patients. As a member of the Metastatic Cancer Task Force, CDMRP encourages applicants to review the recommendations (https://health.mil/Reference-Center/Congressional-Testimonies/2018/05/03/Metastatic-Cancer-Research) and submit research ideas to address these recommendations provided they are within the limitations of this funding opportunity and fit within the FY24 BCRP priorities.Innovative research involving nuclear medicine and related techniques to support early diagnosis, more effective treatment, and improved health outcomes of active-duty Service Members and their Families is encouraged. Such research could improve diagnostic and targeted treatment capabilities through noninvasive techniques and may drive the development of precision imaging and advanced targeted therapies.The proposed research must be relevant to active-duty Service Members, Veterans, military beneficiaries, and/or the American public. Collaborations between researchers at military or Veteran institutions and non-military institutions are strongly encouraged. These relationships can leverage knowledge, infrastructure, and access to unique clinical populations that the partners bring to the research effort, ultimately advancing cancer research that is of significance to the Warfighter, military Families, and the American public.Clinical trials are not allowed. A clinical trial is defined in the Code of Federal Regulations, Title 45, Part 46.102 (45 CFR 46.102) as a research study in which one or more human subjects are prospectively assigned to one or more interventions (which may include a placebo or another control) to evaluate the effects of the interventions on biomedical or behavioral health-related outcomes.Studies that do not seek to measure safety, effectiveness, and/or efficacy outcome(s) of an intervention are not considered clinical trials.For the purposes of this funding opportunity, research that meets the definition of a clinical trial is distinct from clinical research. Clinical research encompasses research with human data, human specimens, and/or interaction with human subjects. Clinical research is observational in nature and includes:(1) Research conducted with human subjects and/or material of human origin such as data, specimens, and cognitive phenomena for which an investigator (or co-investigator) does not seek to assess the safety, effectiveness, and/or efficacy outcomes of an intervention. Research meeting this definition may include but is not limited to: (a) mechanisms of human disease, (b) diagnostic or detection studies (e.g., biomarker or imaging), (c) health disparity studies, and (d) development of new technologies.(2) Epidemiologic and behavioral studies that do not seek to assess the safety, effectiveness, and/or efficacy outcomes of an intervention.(3) Outcomes research and health services research that do not fit under the definition of clinical trial.Excluded from the definition of clinical research are in vitro studies that utilize human data or specimens that cannot be linked to a living individual and meet the requirements for exemption under Â§46.104(d)(4) of the Common Rule.The funding instrument for awards made under the program announcement will be grants (31 USC 6304).The anticipated direct costs budgeted for the entire period of performance for an FY24 BCRP Breakthrough Award Funding Level 1 should not exceed $450,000 for applications with a single PI or $750,000 if applying under the Partnering PI Option.The anticipated direct costs budgeted for the entire period of performance for an FY24 BCRP Breakthrough Award Level 2 should not exceed $1.0M for applications with a single PI or $1.5M if applying under the Partnering PI Option.The anticipated direct costs budgeted for the entire period of performance for an FY24 BCRP Breakthrough Award Funding Level 2, Population Science and Prevention Studies, should not exceed $1.5M for applications with a single PI or $2.0M if applying under the Partnering PI Option. Refer to Section II.D.5, Funding Restrictions, for detailed funding information.Awards supported with FY24 funds will be made no later than September 30, 2025.The CDMRP expects to allot approximately $20.9M to fund approximately 14 Breakthrough Award Levels 1 and 2 applications. Funding of applications received is contingent upon the availability of federal funds for this program, the number of applications received, the quality and merit of the applications as evaluated by peer and programmatic review, and the requirements of the government. Funds to be obligated on any award resulting from this funding opportunity will be available for use for a limited time period based on the fiscal year of the funds. It is anticipated that awards made from this FY24 funding opportunity will be funded with FY24 funds, which will expire for use on September 30, 2030.</t>
  </si>
  <si>
    <t>DoD Peer Reviewed Alzheimer s Transforming Research Award</t>
  </si>
  <si>
    <t>The FY24 PRARP TrRA is intended to support studies that will make transformative and advanced contributions to reduce risk of or prevent the development of AD/ADRD. Risk reduction considering TBI and/or military service is of particular interest to the program. The work should significantly accelerate efforts in AD/ADRD research and demonstrate significant impact toward improving patient care and/or quality of life.
To meet the intent of the funding opportunity, applications must robustly address an important problem or a critical barrier to progress in prevention and risk reduction. The proposed research may include, but is not limited to, exploring questions in the following areas:
Â· Identification of risk factors (environmental, genetic, epigenetic, lifestyle, etc.).
Â· Identification and implementation of strategies to reduce AD/ADRD risk and prevent cognitive problems following TBI and/or military service.
Â· Understanding the role of social determinants of health in risk reduction.
Â· Informational (not descriptive) epidemiology to understand environmental and other factors that contribute to development of AD/ADRD.
All applications submitted to this funding opportunity must clearly indicate how the project addresses a critical unmet need, explain how the research will be representative of the population it intends to benefit, and demonstrate cultural competence. Culturally competent research factors the cultural background and diversity of the intended beneficiaries of the research outcomes when developing research ideas, conducting research, and implementing the research findings. Cultural competency in research is critical in reducing health disparities and enhancing the quality and impact of research by ensuring inclusivity, understanding, and responsiveness to the needs of diverse populations.
Key elements of this award mechanism include:
Â· Research should be robust: The FY24 PRARP TrRA mechanism is geared toward supporting robust, well-designed research projects that provide significant impact on the AD/ADRD field, persons living with dementia, and their families, care-partners/caregivers. Inclusion of collaborative Community partner approaches is strongly encouraged for all projects and is required for all projects involving clinical research. Use of animal models must be fully justified for relevance to human health.
Â· Non-incremental advancement: Research projects should leverage existing knowledge to accelerate ideas, strengthen evidence, and move the field forward. Therefore, preliminary data are required. Projects proposing incremental advances that do not significantly propel the field do not meet the intent of this mechanism.
Â· Feedback to the Community: Applicants are expected to articulate a plan for relaying the results and outcomes of the research supported by this mechanism must be relayed back to the research/Community(ies) to allow for continued knowledge building.
Â· Optimizing research impact through Community collaboration: Research funded by the FY24 PRARP should be responsive to the needs of people living with AD/ADRD. Community collaboration is required for clinical research projects and encouraged for preclinical studies. Establishment and utilization of effective and equitable collaborations and partnerships with members of the AD/ADRD lived experience, family, and care partner communities, which will be referred to as Community(ies) in the remainder of the Funding Opportunity, maximizes the translational and impact potential of the proposed research.
Collaborative research approaches feature shared responsibility and ownership for the research project to ensure non-tokenistic involvement of Community members within the research team. Collaborative research approaches such as Community-based participatory research, participatory action research, and integrated knowledge transition generate partnerships between scientific researchers and Community members to create knowledge useable by both sets of stakeholders. Recognizing the strengths of each partner, scientific researchers and Community members must collaborate and contribute their expertise equitably on all aspects of the project, which may include needs assessment, planning, research intervention design, implementation, evaluation, and dissemination. Research results are jointly interpreted, disseminated, fed back to affected communities, and may be translated into interventions or policy. These methods are critically important for Community-level interventions and can also augment the potential impact of a research program on people living with dementia, their families, and/or their care partners.
These collaborative relationships are often established through integrating Community members into research teams as co-researchers, advisors, and consultants. Some examples for Community collaborations include:
Â· Lived Experience Consultation: The research team includes at least one project advisor with AD/ADRD experience who will integrate with the research team to provide consultation throughout the planning, implementation, and dissemination of the research project. Lived experience consultants (LECs) may include individuals with AD/ADRD, their family members, care partners, or others as appropriate.
Â· Partnership with a Community-Based Organization: The research team establishes partnerships with at least one Community-based organization that provides consultation throughout the planning, implementation, and dissemination of the research project. Community-based organizations may include advocacy groups, service providers, policymakers, or other formal organizational stakeholders.
Â· Community Advisory Board (CAB) Utilization: A CAB is composed of multiple Community stakeholders and can take many forms, from a board of LECs to a coalition of Community-based organizations or any combination thereof. As with LECs and organizational partners, the CAB provides consultation throughout the planning, implementation, and dissemination of the research project.
Career Initiation or Transition (CIT) Partnership Option: The FY24 PRARP encourages applications that include meaningful and productive collaborations between two principal investigators. To promote enhanced research capacity within the AD/ADRD field, the FY24 TrRA includes an option for a CIT Principal Investigator (PI) to partner with an experienced to jointly address a research question.
The CIT PI must have nominal, if any, research support in the field and may be either one of the following:
Â· The Career Initiation PI must be an early-career researcher, at least 3 years post their terminal degree but no more than 7 years into their independent position. Both PIs may have similar or disparate expertise, but each PI is expected to bring distinct and complimentary contributions to the application.
Â· The Career Transition PI must be an investigator (at any stage) who is new to the military health, TBI, or AD/ADRD field(s). â€œNew to the fieldâ€ is defined as having only nominal, if any, publications in the field. The other partnering investigator must have complimentary experience (as evidenced by publications) in military health, TBI, and/or AD/ADRD field(s).
The CIT is structured to accommodate two PIs. One PI will be identified as the Initiating PI and will be responsible for most of the administrative tasks associated with application submission. The other will be identified as a Partnering PI. Either PI can be the CIT PI. Both PIs should contribute significantly to the development of the proposed research project, including the Project Narrative, Statement of Work (SOW), and other required components. Both PIs may have experience in similar or disparate scientific disciplines, but each PI is expected to bring distinct and complimentary contributions to the application. If recommended for funding, each PI will be named to an individual award within the recipient organization(s). For individual submission requirements for the Initiating and Partnering PI, refer to Section II.D.2, Content and Form of the Application Submission.</t>
  </si>
  <si>
    <t>DoD Peer Reviewed Alzheimer s Transforming Care Award</t>
  </si>
  <si>
    <t>The intent of the FY24 Transforming Care Award (TrCA) is to support research that provides answers and solutions in critical areas to improve quality of life, reduce caregiver burden and stress, reduce health disparities, and increase support for the individual with a diagnosis of Alzheimerâ€™s disease and related dementias (AD/ADRD), their care partner/caregiver, and/or both, as well as the impact on families and/or communities. For this mechanism, â€œfamilyâ€ is broadly defined as the family of choice and/or the family of origin. Additionally, the TrCA definition of â€œcareâ€ does not include medical care (such as medical interventions administered by a physician), as the care landscape extends beyond that of medical interventions to be inclusive of research into integration, education, and support.
The PRARP requires projects to ensure strategies maintain the dignity of the individual living with a dementia diagnosis and their family/care/social communities.
All applications submitted to this funding opportunity must clearly indicate how the project addresses a critical unmet need, explain how the research will be representative of the population it intends to benefit, and demonstrate cultural competence. Culturally competent research factors the cultural background and diversity of the intended beneficiaries of the research outcomes when developing research ideas, conducting research, and implementing the research findings. Cultural competency in research is critical in reducing health disparities and enhancing the quality and impact of research by ensuring inclusivity, understanding, and responsiveness to the needs of diverse populations.
The TrCA targets research that includes, but is not limited to, improvements in long-term care, quality of life, psychosocial wellness, and supporting aging-in-place, belonging, and community living for individuals, care partners, and families living with a dementia diagnosis. Studies may include, but are not limited to, topics such as considerations for dementia care that are specific to military Service Members and/or Veterans and their Families, navigating the AD/ADRD diagnosis and care path, and overcoming care partner/caregiver stress.
Projects may address knowledge gaps, interventions, strategies, technologies, and/or tools. Clinical research and clinical trials are allowed, however, clinical trials solely testing or evaluating pharmacological interventions do not meet the intent of this funding opportunity.
Key elements of this award mechanism are:
Â· Person-centered research: All applications to the FY24 PRARP TrCA should be person- centered. This mechanism is intended to provide answers and solutions in critical areas to improve quality of life, reduce burden and stress, and increase support for individuals living with a diagnosis, their families, and their care partners (hereafter referred to as Community(ies) in this Funding Opportunity). The research should have near-immediate impact on the intended beneficiaries. To facilitate success, the TrCA requires Community collaboration for all projects.
Â· Focus on outcomes: The intent of the TrCA is to advance knowledge and capacity in the AD/ADRD care field. As such, applicants should clearly articulate outcomes, clearly demonstrate a pathway of feasibility, and identify realistic approaches to scaling and Community level implementation for widespread use. Additionally, applications should plan for and describe how the research will be manualized (i.e., compiled in a manual) and fed back into the research, lived experience, and care communities. See Attachment 6, Research Manual and Progression Plan.
Â· Representation: Awards supported by the PRARP are expected to address gaps in representative AD/ADRD data sets. Applicants must prioritize diversity and equity in clinical study populations including, but not limited to, social and structural determinants of health such as sex, gender, ethnicity, culture, socioeconomic status, geography, and health care access, are expected.
â€¢ Projects supported by this mechanism must represent a non-incremental advance in the care field. Preliminary data are required. For this mechanism, studies utilizing animal models do not meet the intent of the mechanism and are not allowed.
Â· Milestone meeting: The Principal Investigator (PI) will be required to present an update on progress toward accomplishing the goals of the award at a Milestone Meeting to be held in the National Capital Area during years 2-4 of the period of performance. The PI may bring up to three additional members of the research team, including their Community partner, to the meeting. The Milestone Meeting will be attended by members of the PRARP Programmatic Panel, CDMRP staff, the USAMRAA Grants/Contracts Officer, and other stakeholders.
Â· Optimizing research impact through Community collaboration: Research funded by the FY24 PRARP should be responsive to the needs of Communities in the remainder of the Funding Opportunity, maximizes the translational and impact potential of the proposed research. Establishing and utilizing effective and equitable collaborations and partnerships with members of the AD/ADRD lived experience Communities is essential to maximize the translational and impact potential of the proposed research.
Collaborative research approaches feature shared responsibility and ownership for the research project to ensure fully integrated involvement of Community members within the research team. Collaborative research approaches such as Community-based participatory research, participatory action research, and integrated knowledge transition, generate partnerships between scientific researchers and Community members to create knowledge useable by both sets of stakeholders. Recognizing the strengths of each partner, scientific researchers and Community members must collaborate and contribute their expertise equitably on all aspects of the project, which may include needs assessment, planning, research intervention design, implementation, evaluation, and dissemination. Research results are jointly interpreted, disseminated, fed back to affected communities, and may be translated into interventions or policy. These methods are critically important for Community-level interventions and can also augment the potential impact of a research program on people living with dementia, their families, and/or their care partners.
These collaborative relationships are often established through integrating Community members into research teams as co-researchers, advisors, and consultants. Some examples for Community collaborations include:
Â· Lived Experience Consultation: The research team includes at least one project advisor with AD/ADRD lived experience who will integrate with the research team to provide consultation throughout the planning, implementation, and dissemination of the research project. Lived experience consultants (LECs) may include individuals with an AD/ADRD diagnosis, their family members, care partners, or others as appropriate.
Â· Partnership with a Community-Based Organization: The research team establishes partnerships with at least one Community-based organization that provides consultation throughout the planning, implementation, and dissemination of the research project. Community-based organizations may include advocacy groups, service providers, policymakers, or other formal organizational stakeholders.
Â· Community Advisory Board (CAB): A CAB is composed of multiple Community stakeholders and can take many forms, from a board of LECs to a coalition of Community-based organizations, or any combination thereof. As with LECs and organizational partners, the CAB provides consultation throughout the planning, implementation, and dissemination of the research project.
Career Initiation or Transition (CIT) Partnership Option: The FY24 PRARP encourages applications that include meaningful and productive collaborations between two principal investigators. To promote enhanced research capacity within the AD/ADRD field, the FY24 TrCA includes an option for a CIT Principal Investigator (PI) to partner with an experienced investigator to jointly address a research question.
The CIT PI must have nominal, if any, research support in the field and may be either one of the following:
Â· The Career Initiation PI must be an early-career researcher, at least 3 years post their terminal degree but no more than 7 years into their independent position. Both PIs may have similar or disparate expertise, but each PI is expected to bring distinct and complimentary contributions to the application.
Â· The Career Transition PI must be an investigator (at any stage) who is new to the military health, TBI, or AD/ADRD field(s). â€œNew to the fieldâ€ is defined as having only nominal, if any, publications in the field. The other partnering investigator must have complimentary experience (as evidenced by publications) in military health, TBI, and/or AD/ADRD field(s).
The CIT is structured to accommodate two PIs. One PI will be identified as the Initiating PI and will be responsible for most of the administrative tasks associated with application submission. The other will be identified as a Partnering PI. Either PI can be the CIT PI. Both PIs should contribute significantly to the development of the proposed research project, including the Project Narrative, Statement of Work (SOW), and other required components. Both PIs may have experience in similar or disparate scientific disciplines, but each PI is expected to bring distinct and complimentary contributions to the application. If recommended for funding, each PI will be named to an individual award within the recipient organization(s). For individual submission requirements for the Initiating and Partnering PI, refer to Section II.D.2, Content and Form of the Application Submission.</t>
  </si>
  <si>
    <t>DoD Breast Cancer, Clinical Research Extension Award</t>
  </si>
  <si>
    <t>The FY24 BCRP Clinical Research Extension Award aims to extend or expand the data collection, follow-up, and analysis of breast cancer clinical studies. The intent of this mechanism is to increase the clinically relevant impact of breast cancer patient participation in clinical research by addressing the knowledge lost due to early trial termination, limited patient follow-up, or suboptimal sample and/or data collection and analysis. Patientsâ€™ contributions of tissue, serum, and other biologic specimens and their data are invaluable to saving lives. The BCRP has created this mechanism to help ensure that science values those contributions with research that maximizes their impact.The critical components of this award mechanism are:Impact: Research supported by the FY24 BCRP Clinical Research Extension Award will have the potential to extend or affect the impact of the previously funded clinical trial or study or will result in new impact and accelerate progress toward ending breast cancer.Research Scope: Although not all-inclusive, research proposed under the FY24 BCRP Clinical Research Extension Award may entail a deeper molecular analysis of clinical samples, initiation of new correlative studies, biomarker validation, or continuing clinical follow-up of patients enrolled in an open/ongoing or completed clinical trial. The proposed research may be hypothesis-testing or -generating or may be designed to generate clinically annotated and molecularly characterized experimental platforms, including patient-derived models or tissue arrays. Innovation is not a criterion for this award mechanism. Projects proposing to conduct clinical trials will not be supported.Feasibility: Preliminary data to support the scientific rationale and feasibility of the research approaches are required. The applicant must demonstrate availability of, and accessibility to, the necessary resources or populations to accomplish the proposed research.Data Evaluation and Sharing: Proposed research should be based on a study sample size that will ensure that the results support valid conclusions or will generate a meaningful hypothesis. It is the applicantâ€™s responsibility to provide sufficient evidence that the sample size is appropriate to meet the studyâ€™s objectives and outline the statistical methods and considerations they will employ in their data analysis. The applicant must outline a data-sharing plan for the scientific community to have access to the experimental platforms and molecular and other data generated from the proposed research.applications that include meaningful and productive partnerships between investigators. The Partnering PI Option is structured to accommodate two Principal Investigators (PIs). One PI will be identified as the Initiating PI, who will be responsible for the majority of the administrative tasks associated with application submission. The other PI will be identified as a Partnering PI. The PIs may have expertise in similar or disparate scientific disciplines, but each PI is expected to bring a distinct contribution to the application. Both PIs should contribute significantly to the development of the proposed research project, including the Project Narrative, Statement of Work (SOW), and other required components. The application should clearly demonstrate that both PIs have equal intellectual input into the design of the project and will devote similar and appropriate levels of effort to the conduct of the project. It is expected that funding will be balanced between both PIs unless appropriately justified. The application is expected to describe how the PIsâ€™ unique expertise combined as a partnership will better address the research question, how the unique expertise that each individual brings to the application is critical for the research strategy and completion of the SOW, and why the work should be done together rather than through separate efforts. Applicants are discouraged from being named as a PI, Initiating PI, or Partnering PI on multiple Clinical Research Extension Award applications unless they are clearly addressing distinct research questions. If recommended for funding, each PI will be named on separate awards to the recipient organization(s). Each award will be subject to separate reporting, regulatory, and administrative requirements. For individual submission requirements for the Initiating and Partnering PIs, refer to Section II.D.2, Content and Form of the Application Submission.Personnel: Applications are expected to include an appropriate and robust research team with the combined backgrounds and breast cancer-related expertise to enable successful conduct of the project.Consumer Advocates: Applications are required to include consumer advocate involvement. The research team must include two or more breast cancer consumer advocates, and it is the applicantâ€™s responsibility to outline the advocatesâ€™ role in the design and execution of the study. As lay representatives, the consumer advocates must be individuals who have been diagnosed with breast cancer and are actively involved in a breast cancer advocacy organization. Their role should be independent of their employment, and they may not be employees of any organizations participating in the application. The consumer advocates should have a high level of knowledge of current breast cancer issues and the appropriate background and/or training in breast cancer research to contribute to the project. Their role should be focused on providing objective input throughout the research effort and its potential impact for individuals with, or at risk for, breast cancer.A congressionally mandated Metastatic Cancer Task Force was formed with the purpose of identifying ways to help accelerate clinical and translational research aimed at extending the lives of advanced state and recurrent patients. As a member of the Metastatic Cancer Task Force, CDMRP encourages applicants to review the recommendations (https://health.mil/Reference-Center/Congressional-Testimonies/2018/05/03/Metastatic-Cancer-Research) and submit research ideas to address these recommendations provided they are within the limitations of this funding opportunity and fit within the FY24 BCRP priorities.Innovative research involving nuclear medicine and related techniques to support early diagnosis, more effective treatment, and improved health outcomes of active-duty Service Members and their Families is encouraged. Such research could improve diagnostic and targeted treatment capabilities through noninvasive techniques and may drive the development of precision imaging and advanced targeted therapies.The proposed research must be relevant to active-duty Service Members, Veterans, military beneficiaries, and/or the American public. Collaborations between researchers at military or Veteran institutions and non-military institutions are strongly encouraged. These relationships can leverage knowledge, infrastructure, and access to unique clinical populations that the partners bring to the research effort, ultimately advancing cancer research that is of significance to the Warfighter, military Families, and the American public.Clinical research encompasses research with human data, human specimens, and/or interaction with human subjects that may or may not be considered a clinical trial. For this funding opportunity, research involving human subjects, human specimens, and data, including extended or expanded clinical follow-up of patients, is permitted; however, this award cannot be used to conduct clinical trials.A clinical trial is defined in the Code of Federal Regulations, Title 45, Part 46.102 (45 CFR 46.102) as a research study in which one or more human subjects are prospectively assigned to one or more interventions (which may include a placebo or another control) to evaluate the effects of the interventions on biomedical or behavioral health-related outcomes.Studies that do not seek to measure safety, effectiveness, and/or efficacy outcome(s) of an intervention are not considered clinical trials.The funding instrument for awards made under the program announcement will be grants (31 USC 6304).The anticipated direct costs budgeted for the entire period of performance for an FY24 BCRP Clinical Research Extension Award should not exceed $5M for applications with a single PI or $6M if applying under the Partnering PI Option. Refer to Section II.D.5, Funding Restrictions, for detailed funding information.Awards supported with FY24 funds will be made no later than September 30, 2025.The CDMRP expects to allot approximately $18.6M to fund approximately two Clinical Research Extension Award applications. Funding of applications received is contingent upon the availability of federal funds for this program, the number of applications received, the quality and merit of the applications as evaluated by peer and programmatic review, and the requirements of the government. Funds to be obligated on any award resulting from this funding opportunity will be available for use for a limited time period based on the fiscal year of the funds. It is anticipated that awards made from this FY24 funding opportunity will be funded with FY24 funds, which will expire for use on September 30, 2030.</t>
  </si>
  <si>
    <t>DoD Breast Cancer, Era of Hope Scholar Award</t>
  </si>
  <si>
    <t>demonstrated significant potential to effect meaningful change in breast cancer. These individuals should be exceptionally talented scientists who have shown that they are the â€œbest and brightestâ€ in their field(s) through extraordinary creativity, vision, innovation, and productivity. They should have demonstrated experience in forming effective partnerships and collaborations and must exhibit strong potential for future leadership in breast cancer research.As the intent of the Era of Hope Scholar Award is to recognize creative and innovative individuals rather than projects, the central features of the award are the demonstrated ability of the individual named as the Principal Investigator (PI) in the application to go beyond conventional thinking in their field and the innovative contribution that the PI can make toward ending breast cancer. The application should articulate a vision that challenges current dogma and demonstrates an ability to look beyond tradition and convention.Experience in breast cancer research is not required; however, the application must focus on breast cancer, and the PI must commit a minimum of 25% level of time and effort during the period of performance to conduct breast cancer research under this award. Individuals from other disciplines who apply novel concepts to breast cancer are encouraged to submit.The PI is encouraged to assemble a research team that will provide the necessary expertise and collaborative efforts toward accomplishing the research goals. The PIâ€™s research team must include two or more breast cancer consumer advocates. As lay representatives, the consumer advocates must be individuals who have been diagnosed with breast cancer and are actively involved in a breast cancer advocacy organization. Their role should be independent of their employment, and they may not be employees of any organizations participating in the application. The consumer advocates should have a high level of knowledge of current breast cancer issues and the appropriate background and/or training in breast cancer research to contribute to the project. Their role should be focused on providing objective input throughout the research effort and its potential impact for individuals with, or at risk for, breast cancer.A congressionally mandated Metastatic Cancer Task Force was formed with the purpose of identifying ways to help accelerate clinical and translational research aimed at extending the lives of advanced state and recurrent patients. As a member of the Metastatic Cancer Task Force, CDMRP encourages applicants to review the recommendations (https://health.mil/Reference-Center/Congressional-Testimonies/2018/05/03/Metastatic-Cancer-Research) and submit research ideas to address these recommendations provided they are within the limitations of this funding opportunity and fit within the FY24 BCRP priorities.Innovative research involving nuclear medicine and related techniques to support early diagnosis, more effective treatment, and improved health outcomes of active-duty Service Members and their Families is encouraged. Such research could improve diagnostic and targeted treatment capabilities through noninvasive techniques and may drive the development of precision imaging and advanced targeted therapies.The proposed research must be relevant to active-duty Service Members, Veterans, military beneficiaries, and/or the American public. Collaborations between researchers at military or Veteran institutions and non-military institutions are strongly encouraged. These relationships can leverage knowledge, infrastructure, and access to unique clinical populations that the partners bring to the research effort, ultimately advancing cancer research that is of significance to the Warfighter, military Families, and the American public.Clinical trials are allowed. A clinical trial is defined in the Code of Federal Regulations, Title 45, Part 46.102 (45 CFR 46.102) as a research study in which one or more human subjects are prospectively assigned to one or more interventions (which may include a placebo or another control) to evaluate the effects of the interventions on biomedical or behavioral health-related outcomes.Studies that do not seek to measure safety, effectiveness, and/or efficacy outcome(s) of an intervention are not considered clinical trials.For the purposes of this funding opportunity, research that meets the definition of a clinical trial is distinct from clinical research. Clinical research encompasses research with human data, human specimens, and/or interaction with human subjects. Clinical research is observational in nature and includes: (1) Research conducted with human subjects and/or material of human origin such as data, specimens, and cognitive phenomena for which an investigator (or co-investigator) does not seek to assess the safety, effectiveness, and/or efficacy outcomes of an intervention. Research meeting this definition may include but is not limited to: (a) mechanisms of human disease, (b) diagnostic or detection studies (e.g., biomarker or imaging), (c) health disparity studies, and (d) development of new technologies.(2) Epidemiologic and behavioral studies that do not seek to assess the safety, effectiveness, and/or efficacy outcomes of an intervention.(3) Outcomes research and health services research that do not fit under the definition of clinical trial.Excluded from the definition of clinical research are in vitro studies that utilize human data or specimens that cannot be linked to a living individual and meet the requirements for exemption under Â§46.104(d)(4) of the Common Rule.The funding instrument for awards made under the program announcement will be grants (31 USC 6304).The anticipated direct costs budgeted for the entire period of performance for an FY24 Era of Hope Scholar Award should not exceed $3.5M. Refer to Section II.D.5, Funding Restrictions, for detailed funding information.Awards supported with FY24 funds will be made no later than September 30, 2025.The CDMRP expects to allot approximately $5.4M to fund approximately one Era of Hope Scholar Award application. Funding of applications received is contingent upon the availability of federal funds for this program, the number of applications received, the quality and merit of the applications as evaluated by peer and programmatic review, and the requirements of the government. Funds to be obligated on any award resulting from this funding opportunity will be available for use for a limited time period based on the fiscal year of the funds. It is anticipated that awards made from this FY24 funding opportunity will be funded with FY24 funds, which will expire for use on September 30, 2030.</t>
  </si>
  <si>
    <t>National Anti-Drug Coalitions Training and Workforce Development Cooperative Agreement</t>
  </si>
  <si>
    <t>Others (see text field entitled "Additional Information on Eligibility" for clarification) Eligibility for this funding is limited to the Community-Based, Advocacy-Focused, Data-Driven, Coalition-Building Association (CADCA).</t>
  </si>
  <si>
    <t>The purpose of the award is to leverage existing resources to expand SAMHSAâ€™s prevention scope and capacity; to provide training to state and community prevention leaders, including members of anti-drug community coalitions from around the country who are committed to addressing the evolving needs of the behavioral health field; and to promote prevention workforce development.</t>
  </si>
  <si>
    <t>DoD Breast Cancer, Transformative Breast Cancer Consortium Development Award</t>
  </si>
  <si>
    <t>The FY24 Transformative Breast Cancer Consortium Development Award is intended to provide successful applicants the time and resources needed to bring investigators and breast cancer advocates together to establish a consortium framework and conduct preliminary research to support application to a future, full Transformative Breast Cancer Consortium Award (pending availability of funds). This is a development award and is a separate mechanism from the full consortium award. Recipients of the FY24 Transformative Breast Cancer Consortium Development Award are expected to submit an application to compete for the full Transformative Breast Cancer Consortium Award anticipated to be offered in a future fiscal year(s). However, it is not necessary to receive a development award in order to apply for a full consortium award in the future. For FY24, investigators may be named as Consortium Director on an application submitted to either (but not both) of these mechanisms. Detailed information on the FY24 Transformative Breast Cancer Consortium Award is available under a separate program announcement (HT942524BCRPTBCCA).The FY24 Transformative Breast Cancer Consortium Development Award provides support to:â€¢ Develop the infrastructure of a multi-institutional research team inclusive of scientists, clinicians, and breast cancer advocates (e.g., building appropriate collaborations, outlining integration, research management, administrative management, and communication plans, and devising an intellectual property plan)â€¢ Generate necessary preliminary data to serve as proof of concept or for project integrationâ€¢ Acquire research resourcesâ€¢ Develop a framework of necessary statistical analysesBreast cancer consumer advocates must be active participants in the development and execution of the Transformative Breast Cancer Consortium Development Award.A congressionally mandated Metastatic Cancer Task Force was formed with the purpose of identifying ways to help accelerate clinical and translational research aimed at extending the lives of advanced state and recurrent patients. As a member of the Metastatic Cancer Task Force, CDMRP encourages applicants to review the recommendations (https://health.mil/Reference-Center/Congressional-Testimonies/2018/05/03/Metastatic-Cancer-Research) and submit research ideas to address these recommendations provided they are within the limitations of this funding opportunity and fit within the FY24 BCRP priorities.Innovative research involving nuclear medicine and related techniques to support early diagnosis, more effective treatment, and improved health outcomes of active-duty Service Members and their Families is encouraged. Such research could improve diagnostic and targeted treatment capabilities through noninvasive techniques and may drive the development of precision imaging and advanced targeted therapies.The proposed research must be relevant to active-duty Service Members, Veterans, military beneficiaries, and/or the American public. Collaborations between researchers at military or Veteran institutions and non-military institutions are strongly encouraged. These relationships can leverage knowledge, infrastructure, and access to unique clinical populations that the partners bring to the research effort, ultimately advancing cancer research that is of significance to the Warfighter, military Families, and the American public.Research involving human subjects and research involving human anatomical substances and data is permitted; however, clinical trials are not allowed under this funding opportunity.A clinical trial is defined in the Code of Federal Regulations, Title 45, Part 46.102 (45 CFR 46.102) as a research study in which one or more human subjects are prospectively assigned to one or more interventions (which may include a placebo or another control) to evaluate the effects of the interventions on biomedical or behavioral health-related outcomes.Studies that do not seek to measure safety, effectiveness, and/or efficacy outcome(s) of an intervention are not considered clinical trials.For the purposes of this funding opportunity, research that meets the definition of a clinical trial is distinct from clinical research. Clinical research encompasses research with human data, human specimens, and/or interaction with human subjects. Clinical research is observational in nature and includes:(1) Research conducted with human subjects and/or material of human origin such as data, specimens, and cognitive phenomena for which an investigator (or co-investigator) does not seek to assess the safety, effectiveness, and/or efficacy outcomes of an intervention. Research meeting this definition may include but is not limited to: (a) mechanisms of human disease, (b) diagnostic or detection studies (e.g., biomarker or imaging), (c) health disparity studies, and (d) development of new technologies.(2) Epidemiologic and behavioral studies that do not seek to assess the safety, effectiveness, and/or efficacy outcomes of an intervention.(3) Outcomes research and health services research that do not fit under the definition of clinical trial.Excluded from the definition of clinical research are in vitro studies that utilize human data or specimens that cannot be linked to a living individual and meet the requirements for exemption under Â§46.104(d)(4) of the Common Rule.The funding instrument for awards made under the program announcement will be grants (31 USC 6304).The anticipated direct costs budgeted for the entire period of performance for an FY24 BCRP Transformative Breast Cancer Consortium Development Award should not exceed $100,000. Refer to Section II.D.5, Funding Restrictions, for detailed funding information.Awards supported with FY24 funds will be made no later than September 30, 2025.The CDMRP expects to allot approximately $0.16M to fund approximately one Transformative Breast Cancer Consortium Development Award application. Funding of applications received is contingent upon the availability of federal funds for this program, the number of applications received, the quality and merit of the applications as evaluated by peer and programmatic review, and the requirements of the government. Funds to be obligated on any award resulting from this funding opportunity will be available for use for a limited time period based on the fiscal year of the funds. It is anticipated that awards made from this FY24 funding opportunity will be funded with FY24 funds, which will expire for use on September 30, 2030.</t>
  </si>
  <si>
    <t>DoD Breast Cancer, Transformative Breast Cancer Consortium Award</t>
  </si>
  <si>
    <t>The FY24 Transformative Breast Cancer Consortium Award is designed to support collaborations and ideas that will transform the lives of individuals with, and/or at risk for, breast cancer and will significantly accelerate progress toward ending breast cancer. Applicants must bring together different perspectives to develop new paradigms that will solve fundamental yet overarching problems in breast cancer. This award requires a team-based approach by a consortium of exceptional researchers and advocates, whose collaborative efforts will make a transformative impact in breast cancer. The transformation intended by the consortium must be in peopleâ€™s lives, and not in the healthcare or research system.This funding opportunity is a separate mechanism from the Transformative Breast Cancer Consortium Development Award, which is intended to provide successful applicants the time and resources needed to bring investigators and breast cancer advocates together to establish a consortium framework and conduct preliminary research to support application to a future, full Transformative Breast Cancer Consortium Award (pending availability of funds). For FY24, investigators may be named as Consortium Director on an application submitted to either (but not both) of these mechanisms. It is not necessary to receive a development award in order to apply for the current funding opportunity or anticipated full consortium awards in the future. Detailed information on the FY24 Transformative Breast Cancer Consortium Development Award is available under a separate program announcement (HT942524BCRPTBCCDA).For the FY24 Transformative Breast Cancer Consortium Award, the consortium should have at least four, but no more than five, project teams, each investigating different projects under a central hypothesis. No more than two project teams may be based at one institution. Each teamâ€™s work must be integrated within the consortium so that every component is working toward the consortiumâ€™s central hypothesis. Note: This award is not intended to replace, supplement, duplicate, or compete with other collaborative research efforts, such as the National Cancer Institute (NCI) Specialized Programs of Research Excellence (SPOREs), and it should not represent a collection of related Program Project grants or subprojects.The proposed consortiumâ€™s overall work is expected to be innovative. In addition, the Transformative Breast Cancer Consortium Award will include funds for â€œseed projectsâ€ to pursue brand-new, high-risk/high-reward concepts that arise from the work, during the award period.DOD FY24 Transformative Breast Cancer Consortium Award 5The Breast Cancer Landscape describes the reality of breast cancer and identifies overarching challenges to progress the field. Research funded under this award mechanism should result in answers that will fundamentally and significantly transform and disrupt the present landscape.Applications submitted to the Transformative Breast Cancer Consortium Award must include the following:â€¢ Research that includes truly innovative and brand-new, paradigm-shifting work in breast cancer that will address vital issues in a unique way. The issues may be one (or more) of the FY24 BCRP Overarching Challenges or, with justification, may be a different issue that meets the intent of the award mechanism and addresses the mission of ending breast cancer. If the application identifies a different fundamental issue, it must be coupled with at least one of the FY24 BCRP Overarching Challenges.â€¢ Research that includes different disciplines that come together to address ending breast cancer with an ecologic approach. The consortiumâ€™s proposed research must look at all aspects of the disease and bring together these different perspectives into one overarching plan for a deep, definitive dive into the FY24 BCRP Overarching Challenge(s) or other fundamental issue identified in the application. The plan also should include issues related to the hypothesis that have not been previously addressed or answered.â€¢ A plan that describes in detail the integration across the consortium in all aspects, including administration, logistics, and substance. Applications must describe the substantive integration across and among teams that are necessary for the work. The required communication plan and administrative management plan will not suffice to show integration, nor will identifying individual team members who will cross teams. A detailed explanation of the substantive research processes that will be integrated is required.Synergistic, highly integrated, multidisciplinary, and multi-institutional research teams of leading scientists, clinicians, and consumer advocates must be assembled into a consortium to address a major problem in a way that could not be accomplished by a single investigator or group. While the project teams are made up of different groups, each with its own Principal Investigator (PI), the teams must be working on the major problem identified in the Transformative Breast Cancer Consortium Award application and under the leadership of the Consortium Director. The research proposed in Transformative Breast Cancer Consortium Award applications may include phase 1 clinical trials and collaborations with pharmaceutical or biotechnology industry scientists and/or companies, as appropriate. However, a clinical trial is not required, and the primary thrust of the application should not be a clinical trial.Although not all-inclusive, applications that propose the following as the primary effort(s) or central hypothesis of the consortium will not meet the intent of this award mechanism:â€¢ NCI Program Project or SPORE grants or applicationsâ€¢ Conducting drug screens or testing a â€œcocktailâ€ of therapeuticsâ€¢ Targeting a single gene or proteinâ€¢ Developing a new derivative or formulation of an old drugâ€¢ Conducting genomic landscape mapping analysesâ€¢ Seeking to improve existing technologies (e.g., mammography or magnetic resonance imaging screening)All applications submitted to the Transformative Breast Cancer Consortium Award must address the following key features:1. IMPACTDemonstrate potential to transform or improve the lives of individuals with, and/or at risk for, breast cancer. The time to the final impact may vary, but the outcomes of the effort must be transformative and significantly advance the BCRPâ€™s mission of ending breast cancer. A clear and compelling presentation of how the effort will be transformative for individuals with, and/or at risk for, breast cancer must be provided. Applications proposing research that represents an incremental advance in breast cancer do not meet the intent of this award mechanism.2. INNOVATIONPursue innovative, high-risk/high-reward research that has the potential to change existing paradigms, or develop new paradigms. Innovative research may introduce a new paradigm, look at existing problems from new perspectives, or exhibit other highly creative qualities. In addition to the requirement that the consortiumâ€™s overall research be innovative, applications must describe a plan to support the pursuit of innovative concepts through â€œseed projects,â€ i.e., the development of new concepts that emerge during the course of the award. These â€œseed projectsâ€ should enable the research team to explore new avenues of high-risk/high-reward ideas that were not part of the original application, but that develop during the project and are within the scope of the overall vision of the research. A portion of the total direct budget costs (no more than 5%) must be reserved to support the â€œseed projects,â€ and these funds may not be used for equipment or travel.3. CONSORTIUMIntegrate project teams consisting of preeminent investigators and advocates from appropriate disciplines and institutions. Applications should include a robust consortium of researchers with the combined backgrounds and breast cancer-related expertise to enable successful conduct of the proposed research. Emphasis must be placed on integrating the most highly qualified investigators and advocates to focus on the research problem, regardless of their location. These investigators must include highly accomplished scientists, clinicians, and promising young investigators in the targeted areas of research who collectively represent the best team to solve the problem(s) identified. The proposed research effort should be broad enough to require a multidisciplinary approach that is reflected in the composition of the consortium team. Inclusion of scientists from nontraditional disciplines is encouraged.The award mechanism is structured with a Consortium Director and at least three, but no more than four, Project Team PIs representing at least two institutions. The Consortium Director is responsible for the day-to-day management of the consortium, as well as for leading their own project team. The Consortium Director, together with the Project Team PIs, are jointly responsible for leading and executing the proposed research projects that are integrated into a central hypothesis and will result in answers that will fundamentally and significantly transform and disrupt the present breast cancer landscape. Please see the top of this section, Section II.B, Award Information, for more details.Incorporate breast cancer consumer advocates into every aspect of the proposed consortiumâ€™s activities. Applications are required to include consumer advocate involvement. The consortium team must include at least one breast cancer consumer advocate per project team. The consumer advocates are expected to represent the perspective of the patient population(s) that are most relevant to the consortiumâ€™s proposed research. Breast cancer consumer advocates must have an active role in every aspect of the proposed consortiumâ€™s work including consortium conception and design, ongoing discussion, decisions and oversight, program evaluation, and dissemination of information to the public. Consumer advocates must be integrated into and play an active role in the leadership and decision-making committees for the consortium at each participating institution. Examples of appropriate integration include membership on the advisory board(s) and steering committee(s), participation in each project team, and attendance at all consortium-related meetings. As lay representatives, the consumer advocates must be individuals who have been diagnosed with breast cancer, they should be part of a breast cancer advocacy organization, and their role in the project should be independent of their employment. They cannot be employees of any of the institutions participating in the application. They must have a high level of familiarity and training involving science and current issues in breast cancer research.4. INTEGRATIONProvide a plan that describes in detail the integration across the consortium in all aspects, including administration, logistics, and substance. Applications must demonstrate the substantive integration across and among teams that are necessary for the work. The integration plan must provide a detailed explanation of the substantive research processes that will be integrated.5. IMPLEMENTATIONProvide a strategy for implementation. Projects must demonstrate solid scientific rationale, and applications must include published and/or preliminary data that support the feasibility of their hypotheses and/or approaches. The application must include a detailed research management plan that identifies critical milestones, outlines the innovations and technical solutions that will be implemented to accomplish the milestones, and explains how these solutions will ultimately be translated to individuals with, and/or at risk for, breast cancer. It is expected that the proposed plan will present an exceptional level of innovation and creativity.Accelerate research progress through communication. Communication between and among consortium team members is essential to the success of the consortium. Applications must include a strategy for sharing data in real time and using information technologies to facilitate timely and effective communication and cooperation. The communication plan should specify the processes and tools to be used for regular and structured communication. The consortium should take full advantage of state-of-the-art communication and data sharing tools in addition to formal and informal meetings. The framework for the communication plan must be part of the application and the individual(s) who will maintain the data sharing and communications technologies must be identified.Provide an effective, coordinated administrative management plan that integrates and optimizes the research and collaborations. The Consortium Director is required to commit a minimum level of time and effort of 25% to direct and manage an initiative of this magnitude, as well as lead their own project team. The Consortium Director must have the scientific ability and proven administrative ability to oversee large research programs and a proven record of leadership, including experience in the effective use of communication tools and the management of multifaceted and multidisciplinary projects. The administrative management plan must explain how the consortium will be organized and managed, and specify the processes and tools to be used for project meeting scheduling, reviews of research findings, ensuring multidisciplinary authorship of all publications arising from the consortiumâ€™s work, and other issues of common concern to the consortium and its investigators. The administrative management plan also must describe procedures and processes that will be used to maximize the resources (e.g., databases, animal models) and products (e.g., antibodies) generated by the consortium and how these resources and products will be made available to the scientific community. A portion of the total direct budget costs must be reserved for a program manager.Award Structure: The Transformative Breast Cancer Consortium Award is structured to accommodate up to five PIs (the Consortium Director and three or four Project Team PIs). The Consortium Director will be responsible for the majority of the administrative tasks associated with application submission and the day-to-day management of the consortium. In addition, the Consortium Director will be responsible for leading their own project team. The Consortium Director and Project Team PIs each have different submission requirements; however, all PIs should contribute significantly to the development of the proposed research project, including the Project Narrative, Statement of Work (SOW), and other required components. If recommended for funding, each PI will be named on separate awards to the recipient organizations. For individual submission requirements for the Consortium Director and Project Team PIs, refer to Section II.D.2, Content and Form of the Application Submission.The Consortium Director, Project Team PIs, and consumer advocates will be required to present an update on progress toward accomplishing research milestones and goals of the consortium and each project at an annual In-Progress Review (IPR) Meeting for the Transformative Breast Cancer Consortium Award. The intent of the IPR Meeting is to assess research progress, address problems, and define future directions. Annual IPR Meetings will be held at the conclusion of year 1 and every subsequent year in the period of performance and will be attended by members of the BCRP Programmatic Panel, CDMRP staff, and the USAMRAA Grants Officer to facilitate oversight and provide feedback to the consortium. IPR Meetings will either be held in person in the National Capital Region or virtually, at the discretion of the government. Continued funding may be contingent upon the successful completion of specific research milestones and goals. Research milestones from the approved SOW will be determined during the award negotiation process.In addition to IPR Meetings, each consortium must hold biannual workshops, which may be held at the PIsâ€™ institutions or virtually, to facilitate ongoing communication and exchange of information within the consortium, as well as with advisory board(s) and/or steering committee(s).</t>
  </si>
  <si>
    <t>DoD Epilepsy Virtual Post-Traumatic Epilepsy Research Center   Faculty Award</t>
  </si>
  <si>
    <t>The ERP seeks to solicit Faculty members to join the Virtual Post-Traumatic Epilepsy Research Center (P-TERC) in order to advance PTE research through development of early-career investigators and investigators new to the PTE field. The ERP Virtual P-TERC is a unique, interactive virtual research center providing intensive mentoring, national networking, collaborations, and a peer group for new PTE investigators. The overarching goal of the Virtual P-TERC is to develop successful, highly productive PTE researchers in a collaborative research and career development environment to enhance quality and expand quantity of the PTE research field. The Virtual P-TERC is a multi-institutional career development and research training platform that consists of Faculty and their Career Guides (primary mentors) and is managed by a Director and Deputy Director. The Virtual P-TERC Leadership (the Director and the Deputy Director) serve as a resource for the Faculty and Career Guides, assessing the progress of Faculty and facilitating communication and collaboration among all of the Faculty and Career Guides, as well as with national research societies and representatives from the community with lived PTE experience. In addition to fostering scientific development, the Virtual P-TERC, through its Leadership, provides for professional and leadership development of the Faculty to include skills and competencies needed to fund and manage a productive PTE research laboratory.</t>
  </si>
  <si>
    <t>DoD Epilepsy Research Partnership Award</t>
  </si>
  <si>
    <t>The intent of the FY24 ERP RPA is to create an avenue to support new or existing collaborative research partnerships between/among investigators to address a research problem or question in a manner that would be unachievable through separate efforts. It is expected that investigators will utilize their distinct but complementary perspectives to synergistically address a central problem or question critical to PTE research and those living with PTE, their families, and/or their care partners.</t>
  </si>
  <si>
    <t>DoD Epilepsy Idea Development Award</t>
  </si>
  <si>
    <t>The intent of the FY24 ERP IDA is to solicit novel, innovative research that has the potential to increase our understanding of PTE to improve quality of life, especially in Service Members, Veterans, and/or their care partners. The work should innovatively challenge existing research paradigms or exhibit high levels of creativity. The FY24 ERP IDA offers two levels of funding dependent upon the level of experience of the Principal Investigator (PI).  Funding Level I - Pathway to Independence Option: Early-career investigators ranging from the postdoctoral level (e.g., research associate, fellows, residents, or equivalent) to within 3 years of their first independent faculty position (or equivalent) may be named by the organization as the PI on the application (mentor required).  Funding Level II - Innovative New Direction Option: Investigators at all career levels may be named by the organization as the PI on the application.</t>
  </si>
  <si>
    <t>DoD Epilepsy Leveraging Research Award</t>
  </si>
  <si>
    <t xml:space="preserve">The intent of the FY24 ERP LRA is to leverage ongoing or completed research studies for which PTE was not an original focus and to provide support to expand the research to develop such a focus and increase our understanding of PTE. The project may include basic, translational, and/or clinical research studies. The study must be associated with an ongoing or completed research effort in which PTE is/was not a research priority and for which addition of cohorts, outcomes, assessments, or analysis specific to PTE would be scientifically justified to increase our understanding of PTE. Examples of allowable research include but are not limited to: Secondary analysis of epilepsy surveillance data to evaluate PTE risk; Addition of a chronic TBI cohort in an ongoing preclinical animal study to evaluate seizure outcomes and epileptogenesis; Recruitment/Analysis of a PTE cohort within an ongoing observational longitudinal study for a known concomitant comorbidity of PTE such as depression, cognitive deficits, sleep disorder, etc. </t>
  </si>
  <si>
    <t>DoD Autism, Career Development Award</t>
  </si>
  <si>
    <t>The FY24 ARP Career Development Award supports early-career, independent investigators and/or the transition of established investigators from other research fields to conduct innovative, high-impact ideas or early-phase, proof-of-principle clinical trials with the potential to have a major impact on ASD. Applications are strongly encouraged to address one of the FY24 ARP Career Development Award Areas of Interest or provide justification that the proposed research addresses a critical problem, question, or need in ASD.This award enables such investigators to compete for funding separately from investigators with established programs of ASD research. Previous experience in ASD research is allowed, but not required. However, in FY24 Career Development Award applications that name a Principal Investigator (PI) with limited background in ASD research, the ARP strongly encourages the inclusion of collaboration with investigators who are experienced in ASD research and/or possess other relevant expertise in order to strengthen the application. PIs must meet specific eligibility criteria as described in Section II.C, Eligibility Information.Research funded by the FY24 ARP should be responsive to the needs of people with ASD, their families, and/or caregivers. Researchers are therefore encouraged to establish and utilize effective collaborations and partnerships with community members to maximize the translational and impact potential of the proposed research.CDMRP encourages research on health areas and conditions that affect women uniquely, disproportionately, or differently from men, including studies analyzing sex as a biological variable. Such research should relate anticipated project findings to improvements in womenâ€™s health outcomes and/or advancing knowledge for womenâ€™s health.</t>
  </si>
  <si>
    <t>Announcement for Program Funding for NRCS  Conservation Innovation Grants (CIG) for Federal fiscal year (FY) 2024 - CONNECTICUT</t>
  </si>
  <si>
    <t>Unrestricted (i.e., open to any type of entity above), subject to any clarification in text field entitled "Additional Information on Eligibility" All U.S. non-Foreign, non-Federal entities and individuals are eligible to apply.  US Federal agencies are not eligible to apply to this opportunity or impart their work to non-federal portion of the budget.</t>
  </si>
  <si>
    <t xml:space="preserve">Notice of Funding Opportunity Summary  
NRCS is announcing the availability of Conservation Innovation Grants (CIG) State Program funding to stimulate the development and adoption of innovative conservation approaches and technologies. Applications are accepted from eligible entities (Section C) for projects carried out in the state of Connecticut.  A total of up to $500,000 is available for the Connecticut CIG competition in FY 2024. All non-Foreign, non-federal entities (NFE) and individuals are invited to apply, with the sole exception of federal agencies. Projects may be between one and three years in duration. The maximum award amount for a single award in FY 2024 is $250,000.  
For new users of Grants.gov, see Section D. of the full Notice of Funding Opportunity for information about steps required before submitting an application via Grants.gov. Completing all steps required to start an application can take a significant amount of time, plan accordingly.  
Key Dates  
Applicants must submit their applications via Grants.gov by 11:59 pm Eastern Time on May 24, 2024. For technical issues with Grants.gov, contact Grants.gov Applicant Support at 1-800-518-4726 or support@grants.gov. Awarding agency staff cannot support applicants regarding Grants.gov accounts. 
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The agency anticipates making selections by July 31, 2024 and expects to execute awards by September 15, 2024. These dates are estimates and are subject to change. </t>
  </si>
  <si>
    <t>DoD Autism, Clinical Trial Award</t>
  </si>
  <si>
    <t>The ARP Clinical Trial Award supports the rapid implementation of clinical trials with the potential to have a significant impact on the treatment or management of ASD. Applications are strongly encouraged to address one of the FY24 ARP Clinical Trial Award Areas of Interest. Clinical trials may be designed to evaluate promising new products, pharmacologic agents (drugs or biologics), devices, clinical guidance, and/or emerging approaches and technologies. Proposed projects may range from small proof-of-concept trials (e.g., pilot, first-in-human, phase 0) to demonstrate the feasibility or inform the design of more advanced trials through large-scale trials to determine efficacy in relevant patient populations.Research funded by the FY24 ARP should be responsive to the needs of people with ASD, their families, and/or caregivers. Researchers are therefore encouraged to establish and utilize effective collaborations and partnerships with community members to maximize the impact potential of the proposed research.CDMRP encourages research on health areas and conditions that affect women uniquely, disproportionately, or differently from men, including studies analyzing sex as a biological variable. Such research should relate anticipated project findings to improvements in womenâ€™s health outcomes and/or advancing knowledge for womenâ€™s health.</t>
  </si>
  <si>
    <t>DoD Hearing Restoration Focused Research Award</t>
  </si>
  <si>
    <t>The FY24 HRRP FRA mechanism is intended to support promising research that accelerates drug discovery and therapeutic development for hearing restoration after military-relevant auditory system injury. Applicants are encouraged to leverage resources and expertise at the National Center for Advancing Translational Sciences (NCATS) to improve efficiency and accelerate the translational process. A list of NCATS programs and resources supporting preclinical innovation can be found at https://ncats.nih.gov/preclinical. Applications from investigators within the military Services and applications involving multidisciplinary collaborations among academia, industry, the military Services, the VA, and other federal government agencies are highly encouraged. These relationships can leverage knowledge, infrastructure, and access to unique clinical populations that the collaborators bring to the research effort, ultimately advancing research that is of significance to Service Members, Veterans, and/or their Families. If the proposed research relies on access to unique resources or databases, the application must describe the access at the time of submission and include a plan for maintaining access as needed throughout the proposed research.</t>
  </si>
  <si>
    <t>DOD Lung Cancer, Translational Research Award</t>
  </si>
  <si>
    <t>The FY24 LCRP Translational Research Award mechanism supports advanced translational research that will foster transformation of promising ideas in lung cancer into clinical applications. Translational research may be defined as an integration of basic science and clinical observations. Observations that drive a research idea may originate from a laboratory discovery, population-based studies, or a clinicianâ€™s firsthand knowledge of patient care. The ultimate goal of translational research is to move a concept or observation forward into clinical application. However, Principal Investigators (PIs) should not view translational research as a one-way continuum from bench to bedside but can include a reciprocal flow of ideas and information between basic science and clinical science (bench to bedside and/or bedside to bench). Research applications only in the area of mesothelioma will not be accepted. This mechanism is intended to fund a broad range of translational studies with two different funding levels. The following are general examples, although not all-inclusive, of the type of research projects that would be appropriate to propose under the current program announcement:Funding Level 1:â€¢ Advanced preclinical studies aimed at translating results from animal studies to applications with human samples/cohorts (The Translational Research Award is not intended to support initial mechanistic studies of a new target.)â€¢ Late-stage preclinical work leading to/preparing for a clinical trial, e.g., Investigational New Drug (IND) application submissionâ€¢ Correlative studies that are associated with an open/ongoing or completed clinical trial, e.g., projects that utilize biospecimens from clinical trials to improve clinical management of lung cancer and/or define new areas of researchâ€¢ Projects that develop endpoints for clinical trialsFunding Level 2â€¢ Pilot clinical trials where limited clinical testing (e.g., small sample size) of a novel intervention is necessary to inform the next step in the continuum of translational researchPreliminary lung cancer relevant data to support the feasibility of the research hypotheses and research approaches are required.</t>
  </si>
  <si>
    <t>DoD Autism, Idea Development Award</t>
  </si>
  <si>
    <t>The FY24 ARP Idea Development Award supports the development of innovative, high-risk/high-reward research that could lead to critical discoveries or major advancements that will accelerate progress in improving outcomes for Autistic individuals. Applications are strongly encouraged to address one of the FY24 ARP Idea Development Award Areas of Interest or provide justification that the proposed research addresses a critical problem, question, or need in ASD. This award mechanism is designed to support innovative ideas with the potential to yield impactful data and new avenues of investigation.Research funded by the FY24 ARP should be responsive to the needs of people with ASD, their families, and/or caregivers. Researchers are therefore encouraged to establish and utilize effective collaborations and partnerships with community members to maximize the translational and impact potential of the proposed research.CDMRP encourages research on health areas and conditions that affect women uniquely, disproportionately, or differently from men, including studies analyzing sex as a biological variable. Such research should relate anticipated project findings to improvements in womenâ€™s health outcomes and/or advancing knowledge for womenâ€™s health.</t>
  </si>
  <si>
    <t>Ohio Natural Resources Conservation Service Energy Technical Assistance</t>
  </si>
  <si>
    <t xml:space="preserve">Notice of Funding Opportunity SummaryThe Natural Resources Conservation Service (NRCS) is directing resources toward climate-smart agriculture and forestry (CSAF) conservation practices, including those for energy efficiency. NRCS is providing funding for a partnership to provide technical assistance to NRCS and producers on energy practices. Information related to NRCS CSAF practices can be found at the following web address: https://www.nrcs.usda.gov/sites/default/files/2023-10/NRCS-CSAF-Mitigation-Activities-List.pdf.A total of up to $1,500,000 is available in fiscal year 2024. All agreements will be five years in duration. Additional funds may be added to agreement in later years as funds become available. Total funding is dependent on the Federal Budget and technical workload in Ohio. For new users of Grants.gov, see Section D. of the full Notice of Funding Opportunity for information about steps required before submitting an application via Grants.gov.Key DatesApplicants must submit their applications via Grants.gov by 11:59 pm Eastern Time on May 24, 2024. For technical issues with Grants.gov, contact Grants.gov Applicant Support at 1-800-518-4726 or support@grants.gov. Awarding agency staff cannot support applicants regarding Grants.gov accounts.For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The agency anticipates making selections by June 24, 2024, and expects to execute awards by July 24, 2024. These dates are estimates and are subject to change. </t>
  </si>
  <si>
    <t>DOD Lung Cancer, Patient-Centered Outcomes and Survivorship Award</t>
  </si>
  <si>
    <t>The Patient-Centered Outcomes and Survivorship Award supports high-risk, high-reward research studies that span the spectrum of behavioral health science, survivorship, health outcomes and comparative effectiveness research, including quality of life, symptom and side effect management, resilience, co-morbid conditions, and examining the physical, psychological, social, and economic effects of lung cancer among patients and their families.The overall intent of the FY24 LCRP Patient-Centered Outcomes and Survivorship Award is to promote evidence-based and patient-centered approaches to improve health and lung cancer related outcomes and enhance the patient experience in defined populations. Research studies may include, but are not limited to:Studies to examine and improve quality of life, decision-making, and symptom and side effect management (e.g., toxicity of treatment, palliative/supportive care, psychological distress and anxiety). Studies to investigate the impact of prevention, diagnostics, treatment, or health care delivery approaches on health outcomes.Studies to assess the relationship(s) between behavioral, cognitive, and/or social functioning in relation to lung cancer detection, initiation, progression, treatment, and rehabilitation. Studies into the psychological health and well-being of those affected by lung cancer (e.g., patients, family members).Development and testing for efficacy of lifestyle interventions and symptom management approaches to minimize disease risk and maximize quality of life.Key aspects of this award mechanism are:Impact: The Patient-Centered Outcomes and Survivorship Award is intended to support research that demonstrates the potential to have a major impact on patient outcomes. Research should challenge paradigms with respect to impact on patient care and outcomes. Proposed projects may include translational or clinical research, including pilot clinical trials. Impactful research will accelerate the movement of promising ideas into clinical applications, generate knowledge to improve clinical guidelines, or significantly advance behavioral, cognitive, and/or social functioning related to the target population.Study Design: Applications should clearly articulate the chosen design of the study. Basic studies should demonstrate research strategy, feasibility, and how the study relates to the human experience with lung cancer. Studies entailing retrospective or prospective recruitment should define the type of architecture of the study (e.g., descriptive, correlational, field experimental, meta-analyses). Study populations should be defined. The rationale should support the chosen study design with statistical evaluation to back the design. Questionnaires should be described in sufficient detail to justify interpretation of potential results.Preliminary Data: The Patient-Centered Outcomes and Survivorship Award requires preliminary data for all studies that propose the active (prospective) recruitment of human subjects. Studies not proposing active recruitment of human subjects are not required to present preliminary data but should be supported by sound reasoning and relevant literature.Patient Advocate Participation: Applications to the Patient-Centered Outcomes and Survivorship Award funding opportunity are encouraged to include a patient advocate. As part of the research team, the patient advocate would assist in the development of the research question, project design, oversight, recruitment, and evaluation, as well as other significant aspects of the proposed project. The patient advocate will be a person with a history of lung cancer diagnosis. As a lay representative, the patient advocate should be active in a cancer advocacy organization. Interactions with other team members should be well integrated and ongoing, not limited to attending seminars and semi-annual meetings. The role of the patient advocate should be focused on providing objective input on the research and its potential impact for individuals with or at risk for lung cancer.</t>
  </si>
  <si>
    <t>DOD FY24 Lung Cancer, Idea Development Award</t>
  </si>
  <si>
    <t>The FY24 LCRP Idea Development Award mechanism promotes new ideas that are still in the early stages of development and have the potential to yield impactful data and new avenues of investigation. This award supports conceptually innovative, high-risk/high-reward research that could lead to critical discoveries or major advancements that will accelerate progress toward eradicating deaths and suffering from lung cancer. Research applications only in the area of mesothelioma will not be accepted. Applications should include a well-formulated, testable hypothesis based on strong scientific rationale.New Investigators: The FY24 LCRP Idea Development Award mechanism encourages applications from independent investigators in the early stages of their careers (i.e., within 10 years of their first faculty appointment or equivalent). The New Investigator category is designed to allow applicants early in their faculty appointments to compete for funding separately from established investigators. Applications from New Investigators and Established Investigators will be peer and programmatically reviewed separately. Principal Investigators (PIs) using the New Investigator category are strongly encouraged to strengthen their applications by collaborating with investigators experienced in lung cancer research and/or possessing other relevant expertise. It is the responsibility of the applicant to describe how the included collaboration will augment the PIâ€™s expertise to best address the research question. All applicants for the New Investigator category must meet specific eligibility criteria as described in Section II.C, Eligibility Information.Preliminary data to support the feasibility of the research hypotheses and research approaches are required; however, these data do not necessarily need to be derived from studies of lung cancer.Key elements of this award are as follows:Innovation: Research deemed innovative may introduce a new paradigm, challenge current paradigms, look at existing problems from new perspectives, or exhibit other uniquely creative qualities.Impact: Research that has high potential impact may lead to major advancements and significantly accelerate progress toward eradicating deaths and suffering from lung cancer.It is the responsibility of the PI to clearly and explicitly articulate the projectâ€™s innovation and its potential impact on lung cancer and its relevance to Military Health System (MHS) beneficiaries. The projectâ€™s impact to both lung cancer research and to patients with lung cancer should be articulated, even if clinical impact is not an immediate outcome. Applications that demonstrate exceptional scientific merit but lack innovation and high potential impact do not meet the intent of the Idea Development Award.</t>
  </si>
  <si>
    <t>DOD FY24 Lung Cancer, Career Development Award</t>
  </si>
  <si>
    <t>The FY24 LCRP Career Development Award supports early-career, independent investigators to conduct impactful research under the mentorship of an experienced lung cancer researcher as an opportunity to obtain the funding, mentoring, and experience necessary for productive, independent careers at the forefront of lung cancer research. Research applications only in the area of mesothelioma will not be accepted. This award is intended to support impactful research projects with an emphasis on discovery.Preliminary data are not required. However, logical reasoning and a sound scientific rationale for the proposed research must be demonstrated.Key elements of this award are as follows:Principal Investigator (PI): PIs must be research- or physician-scientists at an early stage of their independent research careers. PIs must be within 5 years of their first faculty appointment (or equivalent) and exhibit a strong desire to pursue a career in lung cancer research.Mentorship: The Mentor(s) must be an experienced lung cancer researcher(s) as demonstrated by a strong record of funding and publications in lung cancer research. In addition, the Mentor(s) must demonstrate a commitment to developing the PIâ€™s career in lung cancer research.Career Development: A Career Development Plan is required and should be prepared with appropriate guidance from the Mentor(s). A clearly articulated strategy for acquiring the necessary skills, competence, and expertise to have a career at the forefront of lung cancer research should be included. The plan should outline how the PI will gain experience in lung cancer research. Because career development is the focus of this award, the PI must commit a minimum of a 25% level of time and effort during the period of performance to conduct lung cancer research under this award.Impact: Research that has high potential impact may lead to major advancements and significantly accelerate progress toward eradicating deaths and suffering from lung cancer.Relevance to Military Health System (MHS) Beneficiaries: The application should clearly articulate how the proposed research is relevant to Service Members, Veterans, and their Families.The PI is required to attend a Department of Defense (DOD) one day in progress review meeting prior to the end of the second year of the award.</t>
  </si>
  <si>
    <t>DOD Lung Cancer, Concept Award</t>
  </si>
  <si>
    <t>The intent of the FY24 LCRP Concept Award is to support innovative, non-incremental, high-risk/potentially high-reward research that will provide new insights, paradigms, technologies, or applications in lung cancer. Studies supported by this award are expected to lay the groundwork for future avenues of scientific investigation. The proposed research project should include a well-formulated, testable hypothesis based on a sound scientific rationale and study design. Research applications only in the area of mesothelioma will not be accepted.Inclusion of preliminary data is not required but is allowed. The strength of the proposed research should be based on sound scientific rationale and logical reasoning. The presentation of substantial preliminary data suggests that the proposed research project would be more appropriately submitted to a different FY24 LCRP funding opportunity. The outcome of research supported by this award should be the generation of robust preliminary data that can be used as a foundation for future research projects. Absence of preliminary data will not negatively affect scientific or programmatic review of the application.Care Delivery and Health Disparity Option: The FY24 LCRP Concept Award mechanism encourages applications that specifically address the comprehensive lung cancer care and/or health disparities FY24 LCRP Areas of Emphasis by offering a Care Delivery and Health Disparity option. Applications from the Care Delivery and Health Disparity option will be peer and programmatically reviewed separately from applications submitted to the Cancer Research Continuum option.Relevance to Military Health: The LCRP seeks to support research that is relevant to the healthcare needs of military Service Members, Veterans, and their Families. Relevance to military health will be considered in determining relevance to the mission of the Defense Health Program (DHP) and FY24 LCRP during programmatic review. Investigators are strongly encouraged to consider the following characteristics as examples of how a project may demonstrate relevance to military health:Use of military or Veteran populations, biospecimens, data/databases, or programs in the proposed research Collaboration with Department of Defense (DOD) or Department of Veterans Affairs (VA) investigatorsExplanation of how the project addresses an aspect of lung cancer that has relevance or is unique to the military, Veterans, other Military Health System (MHS) beneficiaries, or Family readiness of Service Members, including environmental exposures other than tobacco.All investigators applying to FY24 LCRP funding opportunities are encouraged to consider leveraging resources from the LCRP-funded Lung Cancer Biospecimen Resource Network (LCBRN) if retrospectively collected human anatomical substances and correlated clinical data are relevant to the proposed studies. Samples from the LCBRN are currently available through the Cooperative Human Tissue Network (CHTN). To request LCBRN samples, contact the Division Coordinator for the CHTN Mid-Atlantic division (email: CHTN-MidAtl@hscmail.mcc.virginia.edu) located at the University of Virginia.A congressionally mandated Metastatic Cancer Task Force was formed with the purpose of identifying ways to help accelerate clinical and translational research aimed at extending the lives of advanced state and recurrent patients. As a member of the Metastatic Cancer Task Force, the CDMRP encourages applicants to review the recommendations (https://health.mil/Reference-Center/Congressional-Testimonies/2018/05/03/Metastatic-Cancer-Research) and submit research ideas to address these recommendations provided they are within the limitations of this funding opportunity and fit within the FY24 LCRP priorities.Applications from investigators within the military services and applications involving multidisciplinary collaborations among academia, industry, the military services, the VA, and other federal government agencies are highly encouraged. These relationships can leverage knowledge, infrastructure, and access to unique clinical populations that the collaborators bring to the research effort, ultimately advancing research that is of significance to Service Members, Veterans, and/or their Families. If the proposed research relies on access to unique resources or databases, the application must describe the access at the time of submission and include a plan for maintaining access as needed throughout the proposed research.</t>
  </si>
  <si>
    <t>DOD Amyotrophic Lateral Sclerosis, Pilot Clinical Trial Award</t>
  </si>
  <si>
    <t>The FY24 ALSRP Pilot Clinical Trial Award supports the rapid implementation of clinical trials with the potential to have a significant impact on the treatment or management of ALS. Projects may range from phase 1 to small-scale phase 2 trials and should aim to de-risk and inform the design of more advanced trials by investigating safety, feasibility, biomarker application, and therapeutic efficacy in relevant patient populations. Clinical trials may be designed to evaluate promising drugs, biologics, or devices with anticipated therapeutic impact that is supported by strong scientific rationale and existing preliminary studies and/or preclinical data. Clinical trials aimed to improve aspects of patient care and ALS symptom management are also applicable to this award mechanism.Funding from this award mechanism must support a clinical trial. A clinical trial is defined as a research study in which one or more study participants are prospectively assigned to one or more interventions (which may include a placebo or another control) to evaluate the effects of the interventions on biomedical or behavioral health-related outcomes. For more information, a Human Subject Resource Document is provided at https://cdmrp.health.mil/pubs/pdf/Human%20Subjects%20Resource%20Document_DEC2022.pdf. Principal Investigators (PIs) seeking funding for a preclinical research project should consider one of the other FY24 ALSRP program announcements being offered. Studies that do not seek to measure safety, effectiveness, and/or efficacy outcome(s) of an intervention are not considered clinical trials.Projects proposing a therapeutic intervention (drug, biologic, and/or device) must incorporate biomarkers specific to the intervention into the trial design. Applicants must clearly describe a biomarker-driven approach and its potential to de-risk and improve the design of anticipated later-stage trials. For further description, see Attachment 13, Biomarker Statement. Biomarker development and characterization can include target engagement biomarkers, pharmacodynamic biomarkers to measure the biological effect of an investigational therapeutic, and/or predictive/cohort-selective biomarkers that indicate whether a specific therapy will be effective in an individual patient or patient subgroup.Key aspects of the FY24 ALSRP Pilot Clinical Trial Award mechanism include:Impact: Potential impact from a pilot clinical trial is not whether an intervention is ready at the conclusion of the trial, but rather if the outcomes will improve and accelerate future larger trials or clinical care and symptom management. Applications submitted to this award can have outcomes that focus on specific subpopulations of ALS patients or potentially even individual patients.Biomarker-Driven Interventions: Therapeutic outcomes should directly and substantially de-risk and inform the design of anticipated later-phase trials of the intervention under investigation.Clinical Care: Improving aspects of clinical care and symptom management should have near-term impact on patients. All interventions must offer significant potential impact for individuals affected by ALS; however, this may include just specific subpopulations or potentially even individual patients.Employing Community Collaborations to Optimize Research Impact Is Required. Research funded by the FY24 ALSRP Pilot Clinical Trial Award should be responsive to the needs of people with ALS, their families, and/or their care partners. Research teams are therefore required to establish and utilize effective and equitable collaborations and partnerships with Community members to maximize impact potential of the proposed research. These collaborations are expected to facilitate accessible, efficient, and humane clinical trials. Applications to the FY24 ALSRP Pilot Clinical Trial Award must name at least one Community partner (e.g., person with ALS, family member and/or caregiver, representative of a community-based organization) who will provide advice and consultation throughout the planning and implementation of the research project. Scientific researchers and Community members will collaborate and contribute equitably on all aspects of the project, which may include needs assessment, planning, research intervention design, implementation, evaluation, and dissemination. Interactions with other team members should be well integrated and ongoing, not limited to attending seminars and semi-annual meetings. Examples for implementing collaborative research approaches include:Person Living with ALS, Family Member, and/or Caregiver: The research team includes a person with ALS, their family member, or caregiver (past or present) as a project advisor who will provide advice and consultation throughout the planning and implementation of the research project.Partnership with a Community-Based Organization: The research team establishes partnerships with at least one Community-based organization that provides advice and consultation throughout the planning and implementation of the research project. Community-based organizations may include advocacy groups, service providers, policymakers, or other formal organizational stakeholders.Community Advisory Board: A Community advisory board is composed of multiple Community stakeholders and can take many forms, from a board of people with ALS, their family members, or caregivers to a coalition of Community-based organizations or any combination thereof. As with people living with ALS and organizational partners, the Community advisory board provides advice and consultation throughout planning and implementation of the research project.Clinical Trial Start Date and Intervention Availability: The proposed clinical trial is expected to begin no later than 12 months after the award date or 18 months after the award date for Food and Drug Administration (FDA)-regulated studies. The application should demonstrate the documented availability of and access to the drug/compound, device, and/or other materials needed, as appropriate, for the proposed duration of the study.Study Population: The application should demonstrate the availability of and access to a suitable patient population that will support a meaningful outcome for the study. The application should include a discussion of how accrual goals will be achieved, as well as the strategy for inclusion of women and minorities in the clinical trial appropriate to the objectives of the study.Research Personnel and Environment: The application should demonstrate the study teamâ€™s expertise and experience in all aspects of conducting clinical trials, including appropriate statistical analysis, knowledge of FDA processes (if applicable), and data management. The application should include a study coordinator(s) who will guide the clinical protocol through the local Institutional Review Board (IRB) of record and other federal agency regulatory approval processes, coordinate activities from all sites participating in the trial, and coordinate participant accrual. The application should show strong institutional support and, if applicable, a commitment to serve as the FDA regulatory sponsor, ensuring all sponsor responsibilities described in the Code of Federal Regulations, Title 21, Part 312 (21 CFR 312), Subpart D, are fulfilled.Statistical Analysis and Data Management Plans: The application should include a clearly articulated statistical analysis plan, a power analysis reflecting sample size projection that will answer the objectives of the study, and a data management plan that includes use of an appropriate database to safeguard and maintain the integrity of the data. If FDA-regulated, the trial must use a 21 CFR 11-compliant database and appropriate data standards. For more on data standards, see https://www.fda.gov/downloads/Drugs/DevelopmentApprovalProcess/ FormsSubmissionRequirements/ElectronicSubmissions/UCM511237.pdf.Transition Plan: Applications should include a transition plan (including potential funding and resources) showing how the intervention will progress to the next clinical trial phase and/or improve current standards of care after the successful completion of the FY24 ALSRP Pilot Clinical Trial Award.Milestone meeting: The Principal Investigator (PI) will be required to present an update on progress toward accomplishing the goals of the award at annual, virtual In Progress Review meetings to be held during the period of performance. The PI should ideally include their Community collaboration partner(s) in the meeting. The In Progress Review Meeting will be attended by members of the ALSRP Programmatic Panel, CDMRP staff, the USAMRAA Grants/Contracts Officer, and other stakeholders.</t>
  </si>
  <si>
    <t>DOD Amyotrophic Lateral Sclerosis, Clinical Outcomes and Biomarkers Award</t>
  </si>
  <si>
    <t>The FY24 ALSRP Clinical Outcomes and Biomarkers Award (COBA) supports the development and/or validation of clinical outcomes and biomarkers to enrich clinical trials in Amyotrophic Lateral Sclerosis (ALS). Projects can be relevant to a specific therapy, a class of therapeutics, or to a specific ALS subtype (such as a particular genetic mutation) and do not have to broadly apply to all patients.Research may include, but is not limited to:Target engagement biomarkers.Objective pharmacodynamic biomarkers to measure the biological effect of an investigational therapeutic.Predictive/cohort-selective biomarkers that indicate whether a specific therapy will be effective in an individual patient or patient subgroup.Diagnostic, prognostic, or disease progressionValidate clinician-, observer-, patient-reported and/or performance outcomes to better support clinical trial success metrics.Define ALS subtypes using patient-based resources to link biosamples and/or digital data elements to rigorous molecular and clinical data.Realize improved strategies that better measure disease progression for people living with ALS.Augment biospecimens, outcome, or digital health data to an on-going clinical trial.Correlate clinical-trial related data (e.g., biosample, imaging, digital health data) with clinical outcomes or responses to therapies.Use of existing well-characterized and highly curated clinical resources is encouraged. Examples of patient-based ALS resources include ongoing or completed clinical trial datasets, biorepositories of clinical specimens, registries (e.g., Centers for Disease Control and Prevention National ALS Registry and/or Biorepository; https://www.cdc.gov/als/Default.html), large omics datasets, patient-report outcomes, digital biomarker datasets, and databases of clinical data and/or metadata. Active-duty military and/or Veteran patient populations or resources should be considered. A list of suitable resources can be found on the ALSRP web page (https://cdmrp.health.mil/alsrp/resources/ALSRPresources). Other resources may be used, provided they have an adequate description of repository parameters and mechanisms for broad access.</t>
  </si>
  <si>
    <t>DOD Amyotrophic Lateral Sclerosis, Therapeutic Development Award</t>
  </si>
  <si>
    <t>The FY24 ALSRP Therapeutic Development Award supports research ranging from preclinical validation of therapeutic leads through Food and Drug Administration (FDA) Investigational New Drug (IND)-enabling studies. The proposed studies are expected to be empirical in nature and product-driven. Applicants with limited ALS experience are strongly encouraged to include collaborators with substantial experience in the relevant ALS model systems, endpoints, and pathophysiology.Applications supported by this award must begin with lead compounds in hand and must include proof-of-concept efficacy data in at least one preclinical model system of ALS, including whole animal and cellular model systems.Examples of activities that will be supported by this award include:Confirmation of candidate therapeutics obtained from screening or by other means, including optimization of potency and pharmacological properties and testing of derivatives and sister compounds.Validation of pilot efficacy studies (such as from an ALSRP Therapeutic Idea Award [TIA]), including the use of additional ALS model systems and/or replicating preliminary data with more time points or additional doses.ND-enabling studies to include: compound characterization; absorption, distribution, metabolism, and excretion (ADME) studies; studies on formulation and stability leading to Good Manufacturing Practice production methods; dose/response and toxicology studies in relevant model systems.Applicants seeking support for basic research focused on ALS drug discovery are encouraged to apply for the FY24 ALSRP TIA (Funding Opportunity Number HT942524 ALSRP TIA), which does not require preliminary data (https://cdmrp.health.mil/funding/alsrp).Mechanism-specific, predictive/cohort-selective, target engagement, and pharmacodynamic biomarker development, in parallel to the main therapeutic effort, is a critical component of the FY24 ALSRP Therapeutic Development Award. If biomarkers are already available or currently in development, how the existing biomarkers will improve trial design, patient selection, and efficiency or interpretation of the proposed ALS therapeutic approach must be apparent in the application. Development of biomarkers for the purposes of diagnosis, prognosis, or measurement of general disease progression without consideration of the therapeutic development process will not be supported. Applicants seeking support for biomarker development independent of therapeutic development are encouraged to apply for the FY24 ALSRP Clinical Outcomes and Biomarkers Award (Funding Opportunity Number HT942524ALSRPCOBA).</t>
  </si>
  <si>
    <t>DOD Amyotrophic Lateral Sclerosis, Therapeutic Idea Award</t>
  </si>
  <si>
    <t>The FY24 ALSRP Therapeutic Idea Award (TIA) supports new, innovative, high-risk, high-gain ideas aimed at Amyotrophic Lateral Sclerosis (ALS) drug or therapy discovery. The studies supported by this award mechanism are expected to be hypothesis-driven and generate preliminary data for future avenues of therapeutic investigation. Projects that focus primarily on pathophysiology of ALS without development of a therapy are outside the scope of this funding opportunity.Applications may demonstrate the ability to achieve interpretable results in the absence of preliminary data supporting the hypothesis. While the inclusion of preliminary data is not prohibited, the strength of the application should rely on the approach.The key elements of this award mechanism are:Innovation: Research deemed innovative may introduce a new paradigm, challenge current paradigms, introduce novel concepts or technologies, or exhibit other uniquely creative qualities that may lead to potential therapeutics for ALS.Impact: The FY24 TIA can be for a specific ALS subtype and does not have to broadly apply to all patients. Research should be non-incremental and pioneer transformative results that could lay the foundation for a new direction in the field of ALS therapy development. Incremental research does not meet the intent of this funding opportunity.Strong Scientific Rationale: Projects that address in the intent of the mechanism should include a well-formulated, testable hypothesis based on strong scientific rationale that holds translational potential to improve ALS treatment and/or advance a novel treatment modality.Biomarkers: Applicants are required to include consideration to biomarker(s) development in parallel with their proposed Therapeutic Idea Award research for eventual clinical trials. Efforts should be mechanism-specific and may include development of target engagement biomarkers, objective pharmacodynamic biomarkers to measure the biological effect of an investigational therapeutic, or predictive/cohort-selective biomarkers that indicate whether a specific therapy will be effective in an individual patient or patient subgroup, including pre-symptomatic gene carriers. Development of markers for the purposes of diagnosis, prognosis, or measurement of disease progression apart from consideration of the therapeutic development process will not be supported and instead investigators should consider the Clinical Outcomes and Biomarkers Award (HT942524ALSRPCOBA).</t>
  </si>
  <si>
    <t>State Promotion of Strategies to Advance Oral Health</t>
  </si>
  <si>
    <t>State Promotion of Strategies to Advance Oral Health is a three-year competitive announcement that continues the Centers for Disease Control and Prevention's investment in supporting oral health programs. This Funding Opportunity Announcement aims to enable recipients to focus on priority populations and the following strategies: 1) access to optimally fluoridated water and receipt of Evidence-based Preventive Dental Services, 2) adherence to infection prevention and control recommendations, 3) access to data to build evidence for public health practice, and 4) access to care and untreated decay, and 5) foundational information supporting integrated medical and dental services for persons with diabetes. The proposed program follows previous Notice of Funding Opportunities (NOFOs) and incorporates programmatic strategies implemented in NOFO DP18-1810 [FY2018 â€“ FY2023].</t>
  </si>
  <si>
    <t>Foundations for Digital Twins as Catalyzers of Biomedical Technological Innovation</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</si>
  <si>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t>
  </si>
  <si>
    <t>The Foundations for Digital Twins as Catalyzers of Biomedical Technological Innovation (FDT-BioTech) program supports inherently interdisciplinary research projects that underpin the mathematical and engineering foundations behind the development and use of digital twins and synthetic data in biomedical and healthcare applications, with a particular focus on digital, in silico models used in the evaluation of medical devices and the relevance of the developed models in addressing current and emerging challenges affecting the development and assessment of biomedical technologies. The goal of the FDT-BioTech initiative is to catalyze biomedical technological innovation through new foundational development of methods and algorithms relevant to digital twins and synthetic humans.</t>
  </si>
  <si>
    <t>Mathematical Foundations of Digital Twins</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</si>
  <si>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-Tribal Nations: An American Indian or Alaska Native tribe, band, nation, pueblo, village, or community that the Secretary of the Interior acknowledges as a federally recognized tribe pursuant to the Federally Recognized Indian Tribe List Act of 1994, 25 U.S.C.   5130-5131.</t>
  </si>
  <si>
    <t>The Division of Mathematical Sciences (DMS) in the Directorate for Mathematical and Physical Sciences (MPS) at the National Science Foundation (NSF) and the Air Force Office of Scientific Research (AFOSR) plan to jointly support foundational mathematical and statistical research on Digital Twins in applied sciences. Recent years have witnessed a significant increase in the demand and interest in applications that involve collaborative teams developing and analyzing Digital Twins to support decision making in various fields, including science, engineering, medicine, urban planning, and more. Both agencies recognize the need to promote research aiming to stimulate an interplay between mathematics/statistics/computation and practical applications in the realm of Digital Twins. This program encourages new collaborative efforts within the realm of Digital Twins, aiming at stimulating fundamental research innovation, pushing, and expanding the boundaries of knowledge, and exploring new frontiers in mathematics and computation for Digital Twin development, and its applications. By leveraging this synergy, the program aims to harness science, technology, and innovation to address some of our Society s most pressing challenges.</t>
  </si>
  <si>
    <t>Rural Health Research Center Program</t>
  </si>
  <si>
    <t>Independent school districts You can apply if your organization is in the United States, the Commonwealth of Puerto Rico, the Northern Mariana Islands, American Samoa, Guam, the U.S. Virgin Islands, the Federated States of Micronesia, the Republic of the Marshall Islands, or the Republic of Palau, and is a public or private, nonprofit, or for-profit organization. Native American tribal governments and tribal organizations are eligible to apply.</t>
  </si>
  <si>
    <t>This notice announces the opportunity to apply for funding under the Rural Health Research Center (RHRC) Program. The purpose of this cooperative agreement is to support recipients as they develop high-quality, impartial, policy relevant rural health services research to inform the improvement of health care in rural areas. Health services research is a â€œmultidisciplinary field of scientific investigation that studies how social factors, financing systems, organizational structures and processes, health technologies, and personal behaviors affect access to health care, the quality and cost of health care, and ultimately, our health and well-being.â€
 The objectives of the health services research funded through this program are to inform health care providers, administrators, policymakers, and other interested parties at the federal, state, and local levels of the challenges facing rural communities relating to health care and to inform policies designed to improve access to rural health care. Rural health services research addresses critical concerns facing rural communities in their efforts to secure adequate, affordable, and high-quality health services.
 The four-year RHRC Program awards will support research centers with specific rural health research areas of concentration. The topic(s) of concentration must relate to policy issues intended to inform the improvement of health care in rural areas. The topic(s) of concentration must also be of enduring interest and importance to rural providers, rural stakeholders, policymakers, and/or rural communities. RHRC recipients will conduct policy-oriented health services research. In addition to primary and secondary research, the applicant may conduct literature syntheses and update existing research to produce timely and relevant information. The ratio of original research to other projects will be negotiated between the recipients and the Federal Office of Rural Health Policy (FORHP).
 The recipients will synthesize findings into publicly available policy briefs accessible to a non-technical audience. Research findings will inform a wide audience of national, state, and local decisionmakers about health issues in rural communities. For example, research findings may illustrate opportunities for policy or programs to address barriers or challenges to providing or accessing health care in rural areas. Research funded under this cooperative agreement will be publicly available on the Rural Health Research Gateway at https://www.ruralhealthresearch.org.
 This program will support health services research projects and will not support clinical and biomedical research or the delivery of health care services.
 You may apply for either the:
 (1) RHRC Program (base award of up to $700,000 per year for 4 years) alone; or
 (2) RHRC Program (base award of up to $700,000 per year for 4 years) and Optional RHRC Supplement (of up to $250,000) awarded no more than once per year for each year of the 4-year period of performance.
 See Attachment 4 for guidance in applying for the â€œOptional RHRC Supplement.â€ Such supplemental funds will be:
 â€¢ Awarded at HRSAâ€™s discretion, based on the Optional RHRC Supplement review criteria in Section V.2 Review and Selection Process;
 â€¢ Subject to the appropriation of funds for each year; and
 â€¢ Subject to successful performance of the recipient on the base award.</t>
  </si>
  <si>
    <t>OVW Fiscal Year 2024 Demonstration Program on Trauma-Informed, Victim Centered Training for Law Enforcement on Domestic Violence, Dating Violence, Sexual Assault, and Stalking (Abby Honold) Program</t>
  </si>
  <si>
    <t>County governments Eligible applicants are limited to: State, local, territorial, or Tribal law enforcement agencies that investigate crimes of domestic violence, dating violence, sexual assault, and/or stalking in the United States or U.S. territories. States, units of local government, and Tribal governments may apply on behalf of law enforcement agencies that lack authority to apply on their own.</t>
  </si>
  <si>
    <t>This program is authorized by 34 U.S.C Â§ 12513. 
The Demonstration Program on Trauma-Informed, Victim-Centered Training for Law Enforcement on Domestic Violence, Dating Violence, Sexual Assault, and Stalking (Abby Honold Program) (Assistance Listing Number #16.058) supports efforts to improve law enforcementâ€™s response to allegations of domestic violence, dating violence, sexual assault, and stalking from the time of a victimâ€™s initial report throughout the entire investigation, and to promote the efforts of law enforcement in improving the response to these crimes. The Abby Honold Program awards grants to law enforcement agencies to train officers to conduct trauma-informed and victim-centered investigations, with the goal of incorporating trauma-informed techniques designed to prevent re-traumatization of the victim and to increase communication between victims and law enforcement as well as stakeholders in a coordinated community response. This programâ€™s purpose is also to evaluate the effectiveness of the training.
The Abby Honold Program encourages law enforcement agencies to integrate into their policies, trainings, and practices the eight principles set forth in the Department of Justiceâ€™s 2022 updated guidance on Improving Law Enforcement Response to Sexual Assault and Domestic Violence by Identifying and Preventing Gender Bias. If implemented, these principles would enhance victim safety, increase offender accountability, and promote agency trust within the surrounding community. 
This program supports the training of law enforcement to conduct investigations more effectively. The training and technical assistance for this program is provided by OVW-funded national Training and Technical Assistance Providers.</t>
  </si>
  <si>
    <t>Urban Health Activity</t>
  </si>
  <si>
    <t>USAID-UGA</t>
  </si>
  <si>
    <t>Uganda USAID-Kampala</t>
  </si>
  <si>
    <t>Notice of Funding Opportunity summary:The United States Agency for International Development (USAID) is seeking applications for aCooperative Agreement from qualified entities to implement the Urban Health Activity. Eligibilityfor this award is not restricted.USAID intends to make an award to the applicant who best meets the objectives of this fundingopportunity based on the merit review criteria described in SECTION E of this Notice of FundingOpportunity (NOFO), subject to a risk assessment. The applicant receiving an award will be theâ€œRecipientâ€. Eligible parties interested in submitting an application are encouraged to read thisNOFO thoroughly to understand the type of program sought, application submissionrequirements, and selection process.Activity short summary:USAID/Uganda plans to award a five-year Cooperative Agreement to enhance health systemresilience and improve the survival and well-being of the residents of Kampala city, Mukono, andWakiso districts (hereafter referred to as the â€œTarget Districtsâ€) (the â€œActivityâ€). The Activity willstrengthen public and private health systems at the facility and community levels to deliverresponsive, timely, evidence-based, quality services. The Activity will strengthen maternal,newborn, and child health (MNCH); malaria; family planning (FP) / reproductive health (RH);nutrition; and Global Health Security (GHS) services in the Target Districts.</t>
  </si>
  <si>
    <t>Public Impact Projects at Smaller Organizations</t>
  </si>
  <si>
    <t>The National Endowment for the Humanities (NEH) Division of Public Programs is accepting applications for the Public Impact Projects at Smaller Organizations program. This program strengthens the capacity of small and mid-sized museums and cultural organizations to create and develop public humanities programming.</t>
  </si>
  <si>
    <t>U.S. Embassy Paramaribo PAS Annual Program Statement</t>
  </si>
  <si>
    <t>DOS-SUR</t>
  </si>
  <si>
    <t>U.S. Mission to Suriname</t>
  </si>
  <si>
    <t>Others (see text field entitled "Additional Information on Eligibility" for clarification) The Public Affairs Section encourages applications from U.S. and Surinamese:_x000D_
_x000D_
Registered not-for-profit organizations, including think tanks and civil society/non-governmental organizations with programming experience;_x000D_
Individuals;_x000D_
Non-profit or governmental educational institutions;_x000D_
Governmental institutions</t>
  </si>
  <si>
    <t>PAS Paramaribo invites proposals from NGOs, individuals and government educational institutions for programs that contribute to the improvement of social, economic or environmental conditions in Suriname and which further one or more of the priorities listed below. All programs must include a connection with American cultural element(s), expert(s), organization(s) or institution(s) that will promote increased understanding of U.S. policy, culture, and perspectives.Priority Program Areas Strengthening democracy â€“ Promoting civic involvement, free and fair elections, or democratic governance at the local or national level in a non-partisan manner.Addressing climate change and environmental education â€“ Nurturing efforts to mitigate and adapt to climate change and reduce food and water insecurity, particularly among underserved and vulnerable populations.Limiting Corruption - Supporting efforts to counter or prevent corruption in business or government, including efforts to develop greater fiscal transparency, enhance the rule of law, and/or protect intellectual property rights.Supporting a free and expressive media environment â€“ Strengthening the professionalism of the media and/or advancing media literacy within the population.Advancing diversity, equality, inclusion, and accessibility for all marginalized communities â€“ Addressing issues involving ethnicity, gender, sexual orientation, physical disabilities, and/or indigenous and tribal communities.Promoting academic linkages â€“ Creating programs or exchanges designed to increase college and university professional linkages between the U.S. and Suriname, especially with community colleges and technical schools.Empowering women â€“ Creating programs focused on the mentorship of women entrepreneurs and/or supporting womenâ€™s increased participation in civil society.Developing Alumni â€” Supporting programs led by, supported by, or involving the Suriname American Alumni Association, its members, or alumni of U.S. exchange programs.Enhancing agricultural production â€” Supporting efforts that advance understanding of modern agricultural practices and expanding entrepreneurship skills with the goal of increasing exports to U.S. and EU markets.Supporting cultural exchange â€” Hosting cultural performances, artistic workshops, trainings, and exhibitions that highlight the deep and ongoing ties between the United States and Suriname and our shared democratic values.</t>
  </si>
  <si>
    <t>SMART FY 2024 Support for Adam Walsh Act Implementation Grant Program</t>
  </si>
  <si>
    <t>USDOJ-OJP-SMART</t>
  </si>
  <si>
    <t>SMART</t>
  </si>
  <si>
    <t>State governments Federally recognized Indian tribal governments (as determined by the Secretary of the Interior) that are eligible per 34 U.S.C.   20929 to carry out the functions of SORNA and have elected to do so. Other eligible applicants are limited to jurisdictions that are defined by SORNA as states, the District of Columbia and the principal U.S. territories.</t>
  </si>
  <si>
    <t>The U.S. Department of Justice (DOJ), Office of Justice Programs (OJP), Office of Sex Offender Sentencing, Monitoring, Apprehending, Registering, and Tracking (SMART Office) seeks applications for funding under the SMART FY 2024 Support for Adam Walsh Act Implementation Grant Program. This program furthers DOJâ€™s mission by assisting states, the District of Columbia, principal U.S. territories and certain federally recognized Indian Tribes with implementation and ongoing maintenance of requirements under the Adam Walsh Child Protection and Safety Act of 2006, specifically Subtitle A of Title I of the Sex Offender Registration and Notification Act (SORNA). 
OJP is committed to advancing work that promotes civil rights and equity, increases access to justice, supports crime victims and individuals impacted by the justice system, strengthens community safety and protects the public from crime and evolving threats, and builds trust between law enforcement and the community.
With this solicitation, the SMART Office seeks to assist jurisdictions with developing and enhancing programs designed to implement SORNA requirements. SORNA requires all states, the District of Columbia, the principal U.S. territories and participating federally recognized Indian Tribes to maintain a sex offender registry; and sex offenders to register and maintain a current registration in each jurisdiction where the individual lives, works or goes to school. 
SORNA also sets forth requirements regarding what jurisdictions must include in their sex offender registries, and what information sex offenders and sex offender registries must provide. For more specific information about SORNA substantial implementation, the National Guidelines and Supplemental Guidelines on Sex Offender Registration and Notification, the Supplemental Juvenile Registration Guidelines, and Attorney General Rules, visit the SMART Officeâ€™s SORNA guidance.
This program furthers DOJâ€™s mission to uphold the rule of law, to keep our country safe, and to protect civil rights.</t>
  </si>
  <si>
    <t>Technologies and Assays for Therapeutic Genome Editing INDs (U01, Clinical Trial Not Allowed)</t>
  </si>
  <si>
    <t>The purpose of this Notice Of Funding Opportunity (NOFO) is to solicit applications on the optimization and characterization of technologies and assays with the potential for utilization and adoption in regulatory submissions of genome editing therapeutics.</t>
  </si>
  <si>
    <t>Texas Partners for Conservation</t>
  </si>
  <si>
    <t>Notice of Funding Opportunity Summary 
This Notice of Funding Opportunity (NFO) is being released prior to appropriation and/or apportionment of funds for fiscal year 2024. Enactment of additional continuing resolutions or an appropriations act may affect the availability or level of funding for this program. The Natural Resources Conservation Service (NRCS), an agency under the United States Department of Agriculture (USDA), is announcing the potential availability of funding for agreements for the purpose of leveraging NRCS resources, addressing local natural resource issues, encouraging collaboration and developing state-and-community-level conservation leadership. Proposals must be for projects based in Texas and focus on conservation priority topics as noted in Section A of this notice. Collaborative projects that provide on-the-ground support for Texas NRCS Field Offices are highly encouraged. Eligible applicants include: 
Â· City or township governments 
Â· County governments 
Â· Native American tribal governments (Federally recognized) 
Â· Native American tribal organizations (other than federally recognized tribal governments) 
Â· Nonprofits having a 501(c)(3) status with the IRS (other than institutions of higher education) 
Â· Nonprofits that do not have a 501(c)(3) status with the IRS (other than institutions of higher education) 
Â· Private institutions of higher education 
Â· Public and State-controlled institutions of higher education 
Â· Special district governments 
Â· State governments 
Research proposals will not be accepted, nor considered. 
For new users of Grants.gov, see Section D. of the full Notice of Funding Opportunity for information about steps required before submitting an application via Grants.gov. 
Key Dates 
Applicants must submit their applications via Grants.gov by 11:59pm Eastern Time on May 22, 2024. For technical issues with Grants.gov, contact Grants.gov Applicant Support at 1-800-518-4726 or support@grants.gov. Awarding agency staff cannot support applicants regarding Grants.gov accounts. 
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A webinar for potential applicants will be provided on April 9, 2024, from 10:00am â€“ 11:00am Central Standard Time via Microsoft Office Teams. Participation. Meeting participation and additional agreement information will be posted on the NRCS Texas Partners for Conservation website.  
The agency anticipates making selections by June 15, 2024, and expects to execute awards by September 15, 2024. These dates are estimates and are subject to change.  
Federal Funding Floor and Ceiling Amounts 
The estimated funding floor for this opportunity is $25,000, and the estimated funding ceiling is $300,000. The funding floor means the minimum agreement funding amount for the Federal share per agreement awarded. The ceiling is the maximum agreement funding amount for the Federal share per agreement awarded. These numbers refer to the total agreement amount, not any specific budget period.</t>
  </si>
  <si>
    <t>FY 2024 English Access Scholarship Program</t>
  </si>
  <si>
    <t>Public and State controlled institutions of higher education Please see full announcement.</t>
  </si>
  <si>
    <t>The English Access Scholarship Program (formerly the English Access Microscholarship Program), established in 2004, is a multifaceted public diplomacy initiative at the forefront of global English language learning and the enhancement of English teaching capacity. With over 200,000 student alumni and over 10,000 teacher alumni in more than 85 countries, the English Access Scholarship Program (Access) is recognized as a high-profile, strategic program that supports U.S. foreign policy objectives, while providing educational opportunities for future leaders globally. Emphasizing critical thinking and employing student-centered and communicative approaches, the program's teaching methodology targets bright, underserved students, primarily aged 13 to 20. The Access Program focuses on four pillars that are integrated into all components of the program: global citizenship themes, 21st-century skills, U.S. culture and values, and communicative English language instruction. The Office of English Language Programs (ECA/A/L), Bureau of Educational and Cultural Affairs anticipates approximately 15,000 participants, including teachers, students, and alumni. Programming may be in-person, virtual, or hybrid and occur in-country, in the region, and in the United States. ECA launched the Access Program in 2004. The program has expanded to become a foundational element in the Bureauâ€™s continuum of exchanges to reach younger and more diverse audiences worldwide. For nearly over a decade, professional development for teachers has also been an integral part of the program. Many Access programs are serving as model classrooms for English teaching in their countries. Only one proposal will be considered by ECA from each applicant organization. In cases where more than one submission from an applicant appears in grants.gov, ECA will only consider the submission made closest in time to the NOFO deadline; that submission would constitute the one and only proposal ECA would review from that applicant. Please see the full announcement for additional information.</t>
  </si>
  <si>
    <t>Federal-State Marketing Improvement Program (FSMIP)</t>
  </si>
  <si>
    <t>USDA-AMS</t>
  </si>
  <si>
    <t>Agricultural Marketing Service</t>
  </si>
  <si>
    <t>Public and State controlled institutions of higher education Eligible applicants include state departments of agriculture, state agricultural experiment stations, and other appropriate state agencies from the 50 States, American Samoa, the District of Columbia, Guam, the Federated States of Micronesia, the Commonwealth of the Northern Mariana Islands, the Commonwealth of Puerto Rico, and the U.S. Virgin Islands.The phrase  other appropriate state agency  means a state university, a state college, or a state government entity such as a state department of forestry, natural resources, or energy.A  state university  and  state college  include land-grant universities and colleges which are defined as institutions of higher education in the United States and designated by a state to receive the benefits of the Morrill Acts of 1862 and 1890. Tribal colleges and universities that became land-grant institutions in 1994, under the Elementary and Secondary Education Reauthorization Act, as well as other State-run colleges and universities are also eligible.</t>
  </si>
  <si>
    <t>To explore and identify new market opportunities for U.S. food and agricultural products, and encourage research and innovation aimed at improving the efficiency and performance of the U.S. agricultural marketing system. FSMIP funds a wide range of applied research projects that address barriers, challenges, and opportunities in marketing, transportation, and distribution of U.S. food and agricultural products domestically and internationally.</t>
  </si>
  <si>
    <t>Secondary Analyses of Child Care and Early Education Data</t>
  </si>
  <si>
    <t>Public and State controlled institutions of higher education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</si>
  <si>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Administration for Children and Families (ACF) plans to solicit applications for awards to support researchers conducting secondary analyses of data to address key questions of relevance to the Child Care and Development Fund (CCDF). CCDF is the primary federal funding source for child care subsidies and aims to help eligible low-income working families access child care and to improve the quality of child care for all children. CCDF also aims to improve implementation of high-quality child care programs to 1) promote childrenâ€™s healthy development and learning and 2) support the education, training, and well-being of child care workers through efforts that include child care licensing, quality rating and improvement systems (QRIS) and professional development opportunities.  Analyzing existing data sets may provide researchers an efficient and cost-effective method for answering critical research questions of relevance to CCDF. Findings from these awards are intended to inform policy, program administration, and future research.Topics of particular interest to ACF may include, but are not limited to:  reducing barriers to access and/or improvements in access to child care and early education, particularly high-quality programs for those most in need of services; consumer education; recruiting and retaining a qualified early care and education (ECE) workforce; stabilizing the supply of high-quality care and education programs; improving teacher and caregiver competencies through professional development; supporting workforce well-being; and, approaches to engage, support, and meet the needs of families. Data sets of particular interest to ACF may include, but are not limited to, the 2019 National Survey of Early Care and Education and state- or territory-level workforce registry, subsidy, Quality Rating and Improvement System (QRIS), licensing, monitoring, Child Care Resource and Referral (CCR&amp;R), or Preschool Development Grants B-5 data.</t>
  </si>
  <si>
    <t>Strengthening Independent Media in Central America to Uncover Crime and Corruption</t>
  </si>
  <si>
    <t>Others (see text field entitled "Additional Information on Eligibility" for clarification)  	U.S.-based non-profit/non-governmental organizations (NGOs).
 	U.S.-based educational institutions subject to section 501(c)(3) of the U.S. tax code or section 26 US 115 of the US 115 of the U.S. tax code.
 	Foreign-based non-profits/non-governmental organizations (NGOs).
 	Foreign-based educational institutions.</t>
  </si>
  <si>
    <t>The Bureau of International Narcotics and Law Enforcement Affairs of the U.S. Department of State announces an open competition for organizations to submit applications to carry out a project to strengthen independent media entities and their members as well as local organizations that will support independent media in Central America. This project will assist in conducting better investigations and provide fact-based reporting on crime and corruption through an evolving media landscape to inform populations and hold power-holders accountable, improving transparency and accountability in Central America.</t>
  </si>
  <si>
    <t>Annual Program Statement</t>
  </si>
  <si>
    <t>DOS-PAK</t>
  </si>
  <si>
    <t>U.S. Mission to Pakistan</t>
  </si>
  <si>
    <t>Others (see text field entitled "Additional Information on Eligibility" for clarification) The following U.S. and Pakistan based non-governmental organizations are eligible to apply:_x000D_
_x000D_
 Not-for-profit organizations_x000D_
 Civil society/non-governmental organizations_x000D_
 Think tanks_x000D_
 Public and private educational institutions_x000D_
_x000D_
For-profit entities, even those that may fall into the categories listed above, are not eligible to apply for this NOFO. Organizations may sub-contract with other entities, but only one, non-profit, non-governmental entity can be the prime recipient of the award. When sub-contracting with other entities, the responsibilities of each entity must be clearly defined in the proposal.</t>
  </si>
  <si>
    <t>The Public Diplomacy Section (PDS) of the U.S. Mission to Pakistan of the U.S. Department of State ispleased to announce an open competition for awards available through the Mission Pakistan PublicDiplomacy Grants Program. This Annual Program Statement (APS) outlines our broad funding priorities,strategic themes, and the procedure for submitting requests for funding. Applications for funding willbe accepted until June 30, 2024. Applicants may apply for funding for small grants (between $10,000and $40,000) or large grants (between $50,000 and $150,000). Preference will be given to applicationsthat make clear their careful consideration of effective use of resources. Please follow carefully allinstructions below and use the grant application document and budget template found on our website.This APS was developed to support projects proposed by U.S. and Pakistani not-for-profit organizations,think tanks, and educational institutions that fulfill the U.S. Mission to Pakistanâ€™s foreign policy goals andobjectives.</t>
  </si>
  <si>
    <t>OSERS: OSEP: Technical Assistance and Dissemination to Improve Services and Results for Children with Disabilities--The National Center for Systemic Improvement, Assistance Listing Number (ALN) 84.326R</t>
  </si>
  <si>
    <t>Special district governments 1.  Eligible Applicants:  SEAs; LEAs, including public charter schools that operate as LEAs under State law; IHEs; other public agencies; private nonprofit organizations; freely associated States and outlying areas; Indian Tribes or Tribal organizations; and for-profit organizations.</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</si>
  <si>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purpose of the Technical Assistance and Dissemination to Improve Services and Results for Children with Disabilities program is to promote academic achievement and to improve results for children with disabilities by providing TA, supporting model demonstration projects, disseminating useful information, and implementing activities that are supported by scientifically based research. 
Assistance Listing Number (ALN) 84.326R.</t>
  </si>
  <si>
    <t>Micro-Grants for Food Security Program</t>
  </si>
  <si>
    <t>State governments Eligible applicants are agricultural agencies or departments in Alaska, American Samoa, the Commonwealth of the Northern Mariana Islands, the Commonwealth of Puerto Rico, the Federated States of Micronesia, Guam, Hawaii, the Republic of the Marshall Islands, the Republic of Palau, and the United States Virgin Islands. A State department of agriculture is the agency, commission, or department of the government responsible for agriculture within the State, Territory, or Insular area.</t>
  </si>
  <si>
    <t>MGFSP assists agricultural agencies or departments in eligible states and territories to increase the quantity and quality of locally grown food in food insecure communities through small-scale gardening, herding, and livestock operations by competitively distributing subawards to eligible entities.USDA promotes climate-resilient landscapes and rural economic systems, including tools to support agriculture, forests, grazing lands, and rural communities. AMS encourages applicants to consider including goals and activities related to reducing and stabilizing the levels of heat-trapping greenhouse gases in the atmosphere or adapting to the already occurring climate change in their projectâ€™s design and implementation.</t>
  </si>
  <si>
    <t>Tailoring HIV Curative Strategies to the Participant (UM1 Clinical Trial Not Allowed)</t>
  </si>
  <si>
    <t>Native American tribal governments (Federally recognized)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</si>
  <si>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The purpose of this Notice of Funding Opportunity (NOFO) is to support the development of clinical research platforms that will enable future clinical trials to determine whether combinations of HIV cure strategies can be effective when optimally tailored to the participants. The ultimate goal is for the results of such proof-of-concept clinical studies to inform the development and prioritization of more broad-based curative strategies that will be effective in all people living with HIV. This NOFO will support multidisciplinary teams to conduct coordinated basic and pre-clinical research to profile participants intact, rebound-competent HIV reservoirs and immunologic backgrounds and use that information to develop and test combinations of HIV curative approaches that are specifically tailored to those participants.</t>
  </si>
  <si>
    <t>Acer Access and Development Program</t>
  </si>
  <si>
    <t>State governments Eligible applicants are State agencies, Tribal governments, and research institutions from the 50 States, American Samoa, the District of Columbia, Guam, the Federated States of Micronesia, the Commonwealth of the Northern Mariana Islands, the Commonwealth of Puerto Rico, and the U.S. Virgin Islands.Research institutions are organizations that typically conduct research with non-Federal and Federal funds, including colleges and universities, federally funded research and development centers, national user facilities, industrial laboratories, or other research institutes.</t>
  </si>
  <si>
    <t>To support the efforts of States, Tribal governments, and research institutions to promote the domestic maple syrup industry through the following activities:Promotion of research and education related to maple syrup production.Promotion of natural resource sustainability in the maple syrup industry.Market promotion for maple syrup and maple-sap products.Encouragement of owners and operators of privately held land containing species of trees in the genus Acer:to initiate or expand maple-sugaring activities on the land; orto voluntarily make the land available, including by lease or other means, for access by the public for maple-sugaring activities.</t>
  </si>
  <si>
    <t>Community Agriculture Grants (Wisconsin)</t>
  </si>
  <si>
    <t xml:space="preserve">Independent school districts </t>
  </si>
  <si>
    <t xml:space="preserve">This Notice of Funding Opportunity (NFO) is being released prior to appropriation and/or apportionment of funds for fiscal year 2024. Enactment of additional continuing resolutions or an appropriations act may affect the availability or level of funding for this program.
The purpose of this NFO is to encourage and promote conservation planning and conservation practice implementation in urban, suburban, and other small-scale type agricultural operations. Emphasis will be placed on projects that establish new demonstration community gardens, or enhance and expand existing community agriculture projects. Proposals should seek to:
1. Provide conservation learning experiences to urban, suburban, and Tribal communities.Â­Â­
2. Address concerns regarding food deserts.
3. Advance Tribal food sovereignty.
4. Achieve positive and measurable natural resources conservation outcomes.
For new users of Grants.gov, see Section D. of the full Notice of Funding Opportunity for information about steps required before submitting an application via Grants.gov.
Key Dates
ï»¿Applicants must submit their applications via Grants.gov by 11:59 pm Eastern Time on May 22, 2024. For technical issues with Grants.gov, contact Grants.gov Applicant Support at 1-800-518-4726 or support@grants.gov. Awarding agency staff cannot support applicants regarding Grants.gov accounts.
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
The agency anticipates making selections by June 21, 2024 and expects to execute awards by September 1, 2024. These dates are estimates and are subject to change. </t>
  </si>
  <si>
    <t>Regional Centers for Public Health Preparedness and Response</t>
  </si>
  <si>
    <t>HHS-CDC-ORR</t>
  </si>
  <si>
    <t>Centers for Disease Control - ORR</t>
  </si>
  <si>
    <t>Others (see text field entitled "Additional Information on Eligibility" for clarification) Institutions of higher education, including accredited schools of public health, or other Nonprofit private entities (having a 501(c)(3) status with the IRS, other than institutions of higher education).Additional Info on Eligibility: There will be an open competition among the above referred eligible entities within each of the 10 HHS Regions.Applicant institutions or entities must be based in the region they are applying to represent.</t>
  </si>
  <si>
    <t>The purpose of the NOFO is to establish and maintain a network of Regional Centers for Public Health Preparedness and Response to increase implementation of evidence-based strategies and interventions (EBSIs) and to improve public health preparedness and response, as informed by the needs of the communities involved. Support will be provided for up to ten centers to determine and support implementation of activities needed to increase use of EBSIs that will improve public health preparedness and response, as informed by the needs of the communities as described in regional workplans. The goal is to fund one center in each of the 10 HHS Regions. Each center will1) Coordinate relevant activities with applicable State, local, and Tribal health departments and officials, health care facilities, and health care coalitions to improve public health preparedness and response, as informed by the needs of the community, or communities involved.2) Develop and implement activities to support focus areas and objectives created by a regional coordinating body in 2023-24.3) As determined necessary by the CDC, and based on the availability of funding, support further implementation of evidence-based practices, or conduct research, evaluation, translation or dissemination necessary to address active or anticipated public health emergencies.4) One center will be awarded additional funds to support coordination and convening of centers and provide technical assistance and training as needed. For the NOFO and application information Zoom webinar, scheduled on Monday, April 1, 2024, 2:00 to 3:30 p.m. ET., please register at https://cdc.zoomgov.com/meeting/register/vJItc-uorjIpE_T4tMi0-EeW8IrJKPJd-uI.</t>
  </si>
  <si>
    <t>Combat human smuggling and Gender-Based Violence TIP and best practices in the Government of Guatemala for SVET</t>
  </si>
  <si>
    <t>Others (see text field entitled "Additional Information on Eligibility" for clarification) The following organizations are eligible to apply:U.S.-based non-profit/non-governmental organizations (NGOs);U.S.-based educational institutions subject to section 501(c)(3) of the U.S. tax code or section 26 US 115 of the US 115 of the U.S. tax code;Foreign-based non-profits/non-governmental organizations (NGOs);Foreign-based educational institutions</t>
  </si>
  <si>
    <t>Gender based violence (GBV) in Guatemala has increased significantly during the pandemic and vulnerable populations including minors are among the victims. The Secretariat Against Sexual Violence, Exploitation, and Trafficking in Persons (SVET) of the Guatemalan Government is the entity with the mandate to ensure the coordination of the prevention, security, justice, welfare, and attention from local authorities to victims and create awareness of these crimes. Cultural awareness and crime prevention in Guatemala have been delegated to the National Civil Police (PNC). However, there are multiple institutions who work with SVET that need to take a more active role in addressing these crimes. The Ministry of Education (MINEDUC) is one of these stakeholders, who has the key responsibility of promoting positive values and addressing these kinds of issues with the next generation of Guatemalans. SVET has interinstitutional agreements between them and both MINEDUC and PNC to coordinate and collaborate in topics related to sexual violence, exploitation, and TIP.Standardize and strengthen SVET, with strong knowledge in sexual crimes, exploitation, trafficking in persons (TIP) and a capable train the trainer program to coordinate all the Government of Guatemala (GoG) institutions to conduct awareness campaigns to combat sexual and GBV by rejecting stereotypes and cultural norms that permit these crimes. In addition, empower SVET to identify and initiate through corresponding authorities investigations against criminal structures engaged in money laundering and human trafficking.</t>
  </si>
  <si>
    <t>AT-24-03: Ocean Environmental Monitoring and Sound Propagation Study at Mid-Atlantic Shelfbreak Offshore Wind Area</t>
  </si>
  <si>
    <t>Public and State controlled institutions of higher education This Program Announcement describes the specific projects that may be awarded to the universities or eligible groups identified. All awards are premised on receipt of an acceptable proposal. This is not an open solicitation for proposals.This announcement is specifically to announce intent to undertake the following project(s):Ocean Environmental Monitoring and Sound Propagation Study at Mid-Atlantic Shelfbreak Offshore Wind AreaOpen to:Cooperative Ecosystem Studies Unit (CESUs): North Atlantic Coast, Chesapeake Watershed, Gulf Coast, Californian, and Pacific Northwest.The award will be a cooperative agreement (see Eligibility Information below). This involves substantial involvement by BOEM scientists in various aspects of study development and/or study conduct. Research projects are required to have a staff member of the applying organization as the Principal Investigator (PI).Cooperative research between interested organizations-i.e., state agencies, public universities, and non-profits in affected states-is always encouraged.Cost Share/Match: Contributions of matching funds towards these efforts, either as cash or in  kind contributions (such as salary, equipment, etc., or a combination of both) is very strongly encouraged. Match cannot include value associated with collection costs for samples previously collected. Match value for instrumentation and other equipment should be adjusted to the period of use within the project relative to the full life cycle for the item. Written documentation for the assessed match for ship time (if applicable) shall provide a fair assessment of costs relevant to the project. Matching dollars cannot be from other Federal funding sources. Further information can be located at 2 Code of Federal Regulations (CFR) 200.306.All questions regarding this project, including eligibility, should be directed only to the  Program Announcement and Cooperative Agreement Questions  point-of-contact listed in Section G.</t>
  </si>
  <si>
    <t>Environmental assessments on offshore renewable energy development require accurate modeling and effective monitoring. Traditional sound propagation modeling for noise effect analysis often uses historical environmental variables that may not reflect oceanographic regime shifts due to climate change. Existing acoustic monitoring only evaluates species calls and signal/noise characteristics collected at the recording sites without incorporating oceanographic variables, and is thus unable to address broader issues such as ecological dynamics and oceanographic processes related to offshore wind development.The proposed study will deploy acoustic sensors in the vicinity of the National Science Foundationâ€™s (NSFâ€™s) Pioneer Array ocean observation platform to collect active and passive acoustic datasets and to conduct sound propagation measurements. Acoustic data analyses will incorporate physical oceanographic time series collected in situ to understand mesoscale and sub-mesoscale oceanographic dynamics and ecosystem level effects from offshore wind development.The outcome of the study will assist to understand the sub-mesoscale and mesoscale oceanographic processes and changes in relation to offshore wind planning and development at the mid-Atlantic shelfbreak region. The outcome will also provide validation to regional sound propagation models. Additionally, the outcome will include information on diurnal, seasonal, and annual occurrence and abundance of planktons, fishes, and marine mammals near offshore wind farm areas.</t>
  </si>
  <si>
    <t>Administrative Support of American Corners in Turkmenistan</t>
  </si>
  <si>
    <t>DOS-TKM</t>
  </si>
  <si>
    <t>U.S. Mission to Turkmenistan</t>
  </si>
  <si>
    <t>Others (see text field entitled "Additional Information on Eligibility" for clarification) The following organizations are eligible to apply:_x000D_
_x000D_
 	Not-for-profit organizations_x000D_
 	Civil society/non-governmental organizations _x000D_
_x000D_
For-profit entities are not eligible to apply for this NOFO.  Organizations may sub-contract with other entities, but only one, non-profit, non-governmental entity can be the prime recipient of the award. When sub-contracting with other entities, the responsibilities of each entity must be clearly defined in the proposal.</t>
  </si>
  <si>
    <t xml:space="preserve">Executive Summary
The U.S. Embassy Ashgabat, Turkmenistan announces an open competition to implement a program to operate three (3) American Corners in Turkmenistan in Dashoguz, Mary and Turkmenabat. Other American Corners may be developed at the direction of the Public Diplomacy Section. American Spaces in Turkmenistan is a network of PD-funded cultural centers, which are a global network of over 600 State Department-sponsored cultural centers. The American Spaces in Turkmenistan conduct youth-oriented cultural and experiential learning programs to improve skills in English, STEM, entrepreneurship, and climate change awareness. The primary audience for these programs will be Turkmen youth, including girls and women, school and university students, teachers, young professionals, especially from economically disadvantaged backgrounds, and USG alumni. The award recipient will be responsible for overseeing administrative aspects of the American Spaces program, to include staffing of selected corners, training logistics, and equipment and facility maintenance. The recipient will also assist in implementing American Spaces programming with significant Public Diplomacy Section input and assistance to ensure the programming meets Mission goals and objectives. Potential implementor will also be responsible for planning, executing, closing, and monitoring and evaluation of all the activities and programs conducted at the American Corners. 
The expected date range for implementation of this project is May 1, 2025 to April 30, 2026. Please follow the instructions below for the application. 
Background
American Spaces are the premier public diplomacy platform of the U.S. Embassy Ashgabat in Turkmenistan that has been strengthening mutual understanding and friendship between the people of Turkmenistan and the United States of America for almost 20 years. American Spaces are located in Ashgabat, Dashoguz, Mary and Turkmenabat and offer English resources and development opportunities to meet interests of diverse audiences, while also serving as gateways for the Turkmen citizens to learn about American society, culture and education.  The American Spaces are well known in the community for their regular English-language activities, such as conversation groups with native speakers, workshops with visiting specialists, and regular presentations by Americans on U.S. life and culture. American Spaces also partner with international and local organizations (e.g., the Smithsonian Institution) to conduct highly impactful programs, such as the Academy for Women Entrepreneurship in partnership with Arizona State Universityâ€™s School of Global Management, a variety of STEM programs to introduce local youth to web design and app development, as well as book festivals and eco festivals.
Project Audiences
The primary audiences for American Spaces in Turkmenistan are:
a. School and university students
b. School and university teachers
c. Young professionals, such as current/aspiring entrepreneurs 
d. Girls and women
e. Civil society representatives 
f. USG programs alumni 
Project Goal
To deepen mutual understanding, foster collaboration and cultivate partnerships between the people of the United States and Turkmenistan through free-of-charge cultural and experiential learning programs conducted at American Corners in all the regions of Turkmenistan: Dashoguz, Mary and Turkmenabat. 
Project Objectives
Objective 1. Oversee and administer American Corners operations within the allocated budget over a 12-month period, demonstrated by implementation of innovative solutions to technical and logistical challenges, maintenance of staffâ€™s high professional standards, and cost-efficient maintenance of spaces, while maintaining the modern aesthetic and accessibility standards of American Spaces.
The implementer will maintain the American Cornersâ€™ physical space in safe, accessible, and welcoming and inspiring environment that is designed in accordance with modern American Spaces branding recommendations; provide logistical support with procurement, shipping and technical and Internet service to meet the Cornersâ€™ programming needs; and constantly seek opportunities to reduce the cost of rent; hire and retain top talent to work at American Corners, provide professional development to staff; and ensure publicity of Corner offerings and programs via social/print media.
The American Spaces standards mandate that all American Corners maintain collections of books, magazines, computer workstations, and an area for programs. All materials at the American Cornersâ€”to include internet accessâ€”must be free and open to the public. American Corners may vary in size, but have the following minimum characteristics:
Â· Secure location with public access;
Â· Minimum size of approximately 100 square meters;
Â· Library containing a minimum of 500 English books selected and provided by the U.S. Mission;
Â· Program venue to accommodate 20 people;
Â· Open and accessible to women and girls;
Â· Accessible to people with disabilities;
Â· Furniture, such as:
o 15â€“20 chairs
o 2â€“3 reading tables
o 5â€“8 computer desks
o 2 office desks with chair
Â· Equipment, such as:
o 1 printer
o 1 copier
o 1 scanner
o 1 digital camera
o 1â€“2 gas heaters as required
o 1 air conditioner as required
o 5â€“10 computer workstations
o 5â€“8 uninterruptible power supply (UPS) units
o 1 laptop
o 5-10 iPads
o 1 projector   screen
o 1 sound system (speakers + mic for public programs)
o 3D Printer
o MakerSpace robotic and technology materials
The three existing American Corners in Dashoguz, Mary and Turkmenabat already have the equipment and furniture mentioned above, which will be made available for the new implementing partner. 
Objective 2. Design and execute a range of diverse programming activities across six core areas of American Spaces (explained below) in alignment with Mission goals, demonstrated by sustained participation and increases in participant turnout.
American Spaces operate based on the global standards of the American Spaces program. These standards mandate that every American Corner offer programming in six core areas free of charge for all the participants: 
1. English language teaching and learning: Increase English language proficiency and instructional skills of English language learners and English language teachers, particularly for underserved audiences by facilitating a wide range of programs that build the skills of English language teachers and promote English language learning.  American Corners provide access to English language speakers and professional development/teacher training resources provided by the State Department.
2. Information about the United States: Increase awareness and understanding of our primary audiences about American history, culture, and society through people-people diplomacy. American Corners also offer collections of English books, videos, newspapers, magazines, photo galleries, and Internet access and ensure these collections remain accurate, up to date, and audience appropriate.
3. Educational advising: Increase the knowledge and skills of high-school students on higher education opportunities in the United States by providing accurate, comprehensive, and up-to-date guidance on applying to U.S. colleges and universities.
4. Alumni engagement: Support continuing engagement with alumni of U.S. exchange programs and cultural enrichment programs, connecting them to local audiences by sharing their U.S. experience and expertise to benefit the local communities. 
5. Skills Building: Develop skills and increase capacity of the Turkmen population to meet global challenges, mitigate crises, increase trade, support inclusive and sustainable economic growth and opportunity and strengthen resilience to economic, technological, environmental and other global challenges. American Corners continue offering programs to meet interests of diverse audiences in the regions especially by organizing projects that promote English language, innovation, entrepreneurship, environmental protection, and gender equality in STEM, as well as teach skills such as critical thinking and media literacy, resume writing and job promotion, how to launch entrepreneurial or social development projects, how to use makerspace equipment to conduct projects.
6. Strategic Cultural Programs: Foster people-to-people connections, increase understanding and build respect towards the United States with Turkmenistan audiences through cultural programs, that can include visual and performing arts, film, literature, health, food culture/cuisine, sports, science and technology, volunteerism, makerspace activities, environment, civil society, and entrepreneurship â€“ introducing Turkmen audiences to virtually any aspect of culture, from an American perspective. American Corners are encouraged to take advantage of the full scope of cultural programming resources offered by the State Department, including arts, sports, and science envoys; speaker programs; films; the â€œGLOBEâ€ program (Global Learning and Observation to Benefit the Environment); Model UN programs; and print and digital offerings developed by the State Department and the Smithsonian Institution. 
Objective 3. Establish sustained partnerships with local organizations to curate and implement cultural and experiential learning initiatives for local communities, demonstrated by increased number of joint outreach efforts.  Examples of those public engagement initiatives can include joint Book Festivals, Cultural Concerts, Eco Festivals, film screenings, and regional and national competitions. 
Objective 4. Increase participation of primary audiences from the regions in U.S. Embassy programs by facilitating access to exchange programs, training opportunities, and study tours, demonstrated by the increase in qualified applicants from the regions. </t>
  </si>
  <si>
    <t>BIL 2024 RENEW AMERICA S SCHOOLS PRIZE TO COOPERATIVE AGREEMENT</t>
  </si>
  <si>
    <t>Others (see text field entitled "Additional Information on Eligibility" for clarification) Please read the FOA document for full eligibility requirements at https://www.herox.com/renewschoolsprize</t>
  </si>
  <si>
    <t>2024 Renew Americaâ€™s Schools PRIZE to Cooperative Agreement Overview:_x000D_
_x000D_
The 2024 Renew Americaâ€™s School Prize will provide up to $6.9M in cash prize awards of $300,000 each, followed by grant awards between $7.5M and $15M._x000D_
_x000D_
The U.S. Department of Energy (DOEâ€™s) Renew Americaâ€™s Schools program provides investments to transform decaying public school infrastructure into healthier, more energy efficient learning environments. The program supports the implementation of infrastructure improvements in schools, with a focus on local educational agencies (LEAs) that qualify as rural and/or high poverty. Through Renew Americaâ€™s Schools, DOE will help create healthier learning environments, lower utility costs, and redirect funds to support students and teachers._x000D_
_x000D_
PHASE 1 (PRIZE): Portfolio + Team = Up to 23 Winners at $300,000 cash prize each_x000D_
In Phase 1 (â€œPortfolio + Teamâ€), competitors will identify a minimum of 10 schools/school facilities to be included in their application. The portfolio may span multiple LEAs. The portfolio should exhibit a high need for energy assessments and, ultimately, energy improvements. The goal of Phase 1 is for competitors to successfully assemble their project team, assemble their portfolio of school facilities, demonstrate the need for energy improvements at schools and school facilities in the defined portfolio, and outline their process to complete the tasks in Phase 2.  Based on successful completion of Phase 1, winners may be invited to enter into negotiations with DOE for a Cooperative Agreement._x000D_
_x000D_
PHASE 2 (COOPERATIVE AGREEMENT): Strategic Plan + Energy Audits = $500,000 to $1,000,000 per grantee_x000D_
ONLY winners from the Phase 1 Prize will be eligible to negotiate with DOE to receive a Cooperative Agreement for Phase 2 and Phase 3 funding. _x000D_
Phase 2 (â€œStrategic Plan + Energy Auditsâ€) will be synonymous with Budget Period 1 of the Cooperative Agreement. Funding in Phase 2 will reimburse Grantees for costs associated with energy audits and strategic planning and design. DOE will allocate a set amount of funding per Grantee, determined by the number of schools or school facilities submitted in their Phase 1 application [see Table 1 below]. In Phase 2, Grantees conduct The American Society of Heating, Refrigerating and Air-Conditioning Engineers (ASHRAE) Level 2 energy audits of all the schools/school facilities in the portfolio and develop a comprehensive Strategic Plan for implementing energy improvements. Energy audits and the Strategic _x000D_
_x000D_
PHASE 3 (COOPERATIVE AGREEMENT): Implementation = $7,000,000 to $14,000,000 per grantee_x000D_
Phase 3 (â€œImplementationâ€) will be synonymous with Budget Period 2 of the Cooperative Agreement. In Phase 3, DOE will allocate a set amount of funding per grantee, determined by the number of schools/school facilities submitted in their Phase 1 application. In Phase 3, Grantees oversee implementation of the energy improvements identified at the end of Phase 2. DOE will work with Grantees to ensure high-priority energy improvements are implemented within the allotted budget for Phase 3. Phase 3 should directly advance the measurable goals of energy savings and high impact health and safety benefits outlined in Phase 1.  _x000D_
_x000D_
Submit questions to Schools@DOE.gov. Please refer to the HeroX website to find the answer to your emailed question._x000D_
_x000D_
To apply, please register with the online application portal, HeroX, at [https://www.herox.com/renewschoolsprize]. Rules and required documents for application packages are available on the HeroX website.</t>
  </si>
  <si>
    <t>Optimizing Health of Children and Adolescents with Perinatal HIV Exposure (U19 Clinical Trial Optional)</t>
  </si>
  <si>
    <t>For profit organizations other than small businesses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</si>
  <si>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This Notice of Funding Opportunity (NOFO) invites applications to participate in a research program cooperative agreement to support theOptimizing Health of Children and Adolescents with Perinatal HIV Exposure Initiative. The objective of this NOFO is to generate information needed to develop and to test interventions for the early detection and reduction of long-term effects of in utero/perinatal exposure toantiretroviral therapy (ART) and/or HIV among individuals who are HIV exposed but uninfected (IHEU).Investigators with innovative thinking and new approaches to address the public health issues facing IHEUs are encouraged to apply.</t>
  </si>
  <si>
    <t>Legal Support, Ethics and Management for Media Professionals</t>
  </si>
  <si>
    <t>Others (see text field entitled "Additional Information on Eligibility" for clarification) The following organizations are eligible to apply: 	Not-for-profit organizations 	For-profit organizations 	Civil society/non-governmental organizations  	Think tanks  	Public and private educational institutions</t>
  </si>
  <si>
    <t>The U.S. Department of Stateâ€™s Embassy Astana announces an open competition opportunity to implement a project that strengthens Kazakhstanâ€™s media environment through the provision of legal support to journalists who may need legal-related training for journalists and media content creators, law students or practitioners; ethics and management training for journalists and media outlets; and educational initiatives targeting law enforcement to raise awareness about the rights of journalists. The project aims to promote professional journalism standards and ensure proper legal protections where needed, while supporting Kazakhstanâ€™s efforts towards democracy and rule of law. Providing legal assistance is crucial in addressing the prevalent issue of journalists facing harassment and intimidation. This support helps safeguard press freedom, ensuring their ability to report freely and holding accountable those who seek to suppress their work. Priority will be given to projects that focus on and provide evidence of tangible, measurable results. Projects consisting solely of conferences or roundtable discussions, theoretical research or surveys, or the writing or publishing of books, are unlikely to be funded. The United States of America and the Republic of Kazakhstan collaborate extensively on bilateral and regional matters, including support for Kazakhstan's commitment to safeguarding media freedoms and elevating journalistic professionalism. Legal protection is foundational to a safe environment for journalism practice, ensuring the safety of journalists and their ability to fulfill their duties. Equally crucial is the need for journalists and content creators to be well-versed in their rights and responsibilities as outlined by the law. This knowledge extends to law students, practitioners, and law enforcement, fostering a holistic understanding of media law. In addition to safeguarding media freedoms, enhancing ethics and management practices helps ensure a robust and well-functioning media landscape. The objective is to not only level the media playing field for independent outlets, but also to empower them with the skills needed to navigate economic challenges, such as financial generation management and resilience during economic downturns. In line with these goals, the U.S. Embassy seeks to facilitate collaboration between various stakeholders by partnering with a qualified non-profit organization in implementing a program. This initiative aims to provide legal support as well as ethics and management training to journalists, content creators, law students, practitioners, and law enforcement in Kazakhstan, bridging the gap between legal expertise and the media landscape. Project Audience(s):  The project should target journalists, media professionals, media content makers, law students and practitioners, and law enforcement agents throughout the country. The project should be able to provide services in Kazakh and Russian. Project Goal: Strengthen press freedom and independence in Kazakhstan by providing access to legal support services and training programs to media and legal professionals. Project Objectives: The program should support objective journalism and ethical journalism standards through the provision of timely, exhaustive, and comprehensive legal consultations to journalists, content creators, law students and practitioners, and media consultants. The program should be able to provide pro-bono legal support in cases when a journalist or a media outlet, requesting such support, were fulfilling their professional duties in accordance with international journalism standards and ethics, as well as the laws and regulations of the Republic of Kazakhstan. The program must include media rights and responsibilities trainings for journalists and content creators, law students and practitioners, and for law enforcement agencies. Proposals should outline strategies and activities aimed at empowering media entities to build strong and sustainable management practices. This may include initiatives focused on financial generation management, strategic planning, and resilience-building measures to navigate economic challenges and enhance the overall managerial competence of independent media organizations. The DREAM Initiative encompasses three key lines of effort to fortify independent media in Kazakhstan: Legal Support, Ethics and Management Training, and Media Transparency. These objectives align with the overarching goal of fostering objective journalism and ethical standards. Project proposals may address one or more of these objectives, or other objectives within the above policy priorities. Objective 1: Improve knowledge and awareness of legal rights and media laws among a minimum of 100 participants through a series of six training sessions. (Ensure at least half of the training sessions are conducted in Kazakh). Topics may include media laws, ethical journalism standards and management practices, journalist legal protections and emerging legal challenges.Â· Objective 2: Advocate for enforcement of legislation that uphold international journalism standards and legal protections by providing media professionals access to timely legal support and consultation services.Â· Objective 3: Improve the ability of independent media organizations, including media executives, editors, and journalists to implement effective management practices through capacity building training focused on organizational management, strategic planning, developing diversified revenue streams, and ethical journalism practices.</t>
  </si>
  <si>
    <t>Media-related small grants to bolster Kazakh language online content</t>
  </si>
  <si>
    <t>Others (see text field entitled "Additional Information on Eligibility" for clarification)  	Not-for-profit organizations dedicated to promoting Kazakh language and culture through online media. 	Non-governmental organizations, including media-related organizations. 	For-profit organizations or small businesses focused on developing innovative technologies or platforms to support Kazakh language content creation and distribution online. 	Individual content creators producing Kazakh language educational or informative content for online platforms. 	Independent journalists or writers creating content in Kazakh language for online publicationFor this announcement, only Kazakhstan-based organizations are eligible to apply.</t>
  </si>
  <si>
    <t xml:space="preserve">The U.S. government's support for Kazakhstan's efforts in promoting Kazakh-language and media reflects a commitment to strengthening bilateral relations, promoting cultural exchange, and supporting democratic values and freedoms. In recent years, there has been a growing recognition of the importance of supporting online Kazakh-language content creators through small grants. This initiative is crucial for several reasons, particularly considering Kazakhstan's efforts to promote its national language and culture while fostering a competitive and professional media landscape.
With the number of Kazakh speakers on the rise, there is a growing demand for online content in Kazakh. By facilitating the proliferation of Kazakh-language content online, this assistance award contributes directly to the economic prosperity of Kazakhstan through the promotion of a competitive, professional, and free media landscape.
Applicants are encouraged to align their project proposals with one or more of the objectives below, demonstrating how their initiatives will contribute to the advancement of Kazakh-language media. Applicants are welcome to propose projects that innovate in content creation in various forms, including animation, documentaries, apps, reporting, podcasts, and video content, leverage emerging technology, and uphold integrity and accuracy in media production.
Project Goal: The primary goal of this assistance is to increase access to high-quality, reliable content for Kazakh-speaking audiences through support for Kazakh online content creators.
Project Audience(s): Kazakh-language content creators, social media content creators, as well as technology professionals promoting innovation in the media space. In addition to individual creators, academic or cultural institutions and organizations promoting Kazakh language, history, and culture could form part of the audience.
Project Objectives:  Project proposals may address one or more of these objectives, or other objectives within the above policy priorities. 
Objective 1: Supportive ecosystem for content creators: Equip Kazakh-language content creators with necessary knowledge and skills to produce accurate, reliable, and fact-based content. Topics may include fact-checking techniques, critical thinking and analysis, audience engagement strategies, visual storytelling, etc.
Objective 2: Technological advancement through Kazakh-language content creation: Develop content creatorâ€™s abilities to integrate new and emerging technologies, including Artificial Intelligence (AI) into the content creation process.
Objective 3: Integrity and accuracy in Kazakh-language media: Increase production of high-quality content that combats disinformation/misinformation and historical manipulation among Kazakh-language content creators. </t>
  </si>
  <si>
    <t>BJA FY24 Upholding the Rule of Law and Preventing Wrongful Convictions Program</t>
  </si>
  <si>
    <t>Nonprofits that do not have a 501(c)(3) status with the IRS, other than institutions of higher education State, county, or local public defender offices that have in-house post-conviction representation programs that show demonstrable experience and competence in litigating post-conviction claims of innocence. If the applicant is not a WCR entity, they must be partnered with one.</t>
  </si>
  <si>
    <t>With this solicitation, BJA seeks to support efforts by both wrongful conviction review (WCR) entities, which represent individuals with post-conviction claims of innocence to review individual cases, and conviction integrity or review units (CIUs) to enhance criminal justice system integrity. This includes a category to select a training and technical assistance (TTA) provider to ensure WCR and CIUs entities and the field obtain the skills, training, and information on the latest practices to safeguard the integrity of convictions and support post-conviction review of claims of wrongful convictions. The TTA provider will also build and maintain a database for the field on exonerations.</t>
  </si>
  <si>
    <t>Food For Progress Merit Based Supplemental Commodity</t>
  </si>
  <si>
    <t>The United States Department of Agricultureâ€™s (USDA) Foreign Agricultural Service (FAS) is soliciting applications from active Food for Progress (FFPr) award recipients for additional commodity funding to be provided and incorporated within the corresponding FFPr cooperative agreement held by the Applicant. USDA/FAS maintains substantial involvement as described in the original NOFO.</t>
  </si>
  <si>
    <t>Pension Counseling   Information Projects</t>
  </si>
  <si>
    <t>The goal of the Pension Counseling &amp; Information Program is to reduce the risk of financial insecurity by empowering individuals through information, resources, and tools. The regional counseling projects promote an understanding of pension rights, and seeks to assist older adults in maintaining or achieving financial stability. This program strives to maximize the independence of older individuals, and empower them to make informed choices so that they can live well in retirement.  Successful applicants will demonstrate a proven track record of advising and representing individuals who have been denied employer or union-sponsored pensions or other retirement savings plan benefits, and will have the capacity to deliver services on a regional basis. Successful applicants will also have a recognized history of serving older people who may be economically marginalized, with an emphasis on diversity, equity, and inclusion.</t>
  </si>
  <si>
    <t>Malaria Elimination in Senegal, Community Health and Strengthening MNCH activities</t>
  </si>
  <si>
    <t>USAID-SEN</t>
  </si>
  <si>
    <t>Senegal USAID-Dakar</t>
  </si>
  <si>
    <t>Others (see text field entitled "Additional Information on Eligibility" for clarification) Eligibility is restricted to local organizations</t>
  </si>
  <si>
    <t>Addendum # 24 The goal of the Malaria Elimination Activity is to advance Senegal toward its goal of malaria elimination by 2030. In the first year, the Malaria Elimination Activity will target the country's northern zone, with the regions of Matam, St-Louis and Louga, which have malaria annual incidence levels below the elimination threshold (below 5 per thousand). The anticipated mechanism is one fixed amount â€œrenewalâ€ award for specific programmatic activities and milestones.Addendum # 25 The purpose of the Strengthening Maternal, Newborn, and Child Health Care Activity is to reinforce the quality of the health care provided in health facilities in the three regions 9( Matam, Saint Louis and Louga), including supporting the functionality of obstetrical surgical units (blocs in French) and neonatal care services and improving the quality of family planning, maternal and child health (MCH), and nutrition services available in health facilities. Addendum #26 The purpose of the Community Health   Social Behavior Change Activity is to improve the utilization of quality community health services in three regions (Saint Louis, Matam and Louga), increase preventive and care-seeking behaviors for maternal, newborn, and child health, family planning, nutrition, and zoonotic diseases, and improve leadership, management, and governance of community health.</t>
  </si>
  <si>
    <t>U.S. Embassy Kuwait PAS Annual Program Statement</t>
  </si>
  <si>
    <t>DOS-KWT</t>
  </si>
  <si>
    <t>U.S. Mission to Kuwait</t>
  </si>
  <si>
    <t>Nonprofits that do not have a 501(c)(3) status with the IRS, other than institutions of higher education PAS encourages applications from Kuwait based:-  Registered not-for-profit organizations, including think tanks and civil society/non-governmental organizations.  -  Non-profit educational institutions.    -  Individuals.</t>
  </si>
  <si>
    <t xml:space="preserve">A. PROGRAM DESCRIPTION 
The U.S. Embassy Kuwait City, Kuwait, Public Affairs Section (PAS) of the U.S. Department of State is pleased to announce its Public Diplomacy Small Grants Program. This is an Annual Program Statement, outlining our funding priorities, the strategic themes we focus on, and the procedures for submitting requests for funding. Please carefully follow all instructions below. 
Purpose of Small Grants: PAS Kuwait invites proposals for programs that strengthen people-to-people ties and advance our shared goals of climate resilience, economic well-being, and a safe and secure world. Proposals should model fair practices. Special consideration will be given to proposals that highlight the diversity of the United States and programs whose participants come from diverse backgrounds. Additionally, projects must address one or more of the priority areas listed below.  
Examples of PAS Small Grants Program programs include, but are not limited to:  
- Academic and professional lectures, seminars and speaker programs; 
- Artistic and cultural workshops, joint performances and exhibitions; 
- Cultural heritage conservation and preservation programs; 
- Professional and academic exchanges and programs; 
 If you have any questions about the grant application process in its entirety, please email to PASKuwaitM@state.gov. 
Program Priority Areas: 
- Strengthening and expanding U.S.-Kuwait people-to-people partnerships to enhance regional stability and security, encompassing education, arts, freedom of speech, and fortifying U.S.-Kuwait ties. 
- Enhancing national security through political reform, economic development, and an improved legal framework. This includes advancing women's empowerment in politics and economics, addressing gender-based violence, and promoting cybersecurity and responsible AI use. 
- Engaging individuals with disabilities and promoting disability research and advocacy in Kuwait. 
- Promoting U.S.-Kuwait economic cooperation by emphasizing economic development, entrepreneurship, and environmental preservation in Kuwait, addressing both economic prosperity and climate change. 
Projectsâ€™ Examples:  
- Conference on emerging technologies, in collaboration with civil society leaders to advance digital transformation research. 
- Project with civil society to heighten environmental awareness regarding air quality, addressing the impact of climate change on Kuwait's environment. Activities may include awareness conferences, a workshop on investigative reporting on climate issues, or designing a digital media campaign supporting STEM in environmental protection. 
- Project in collaboration with civil society and/or academia that would provide training to Kuwaiti women in leadership skills, legal principles, and political etiquette. Training would aim to empower women with stronger social and legal knowledge, fostering increased participation in political careers. 
- Project to support the administration and management of volunteer work in Kuwait, collaborating with civil society to enhance youth engagement and foster creative community service and corporate social responsibility (CSR) projects led by both the private sector and the government. 
- Project to advance disability rights research in collaboration with academia and civil society. 
- Training program for sports arbitrators to equip them with required skills in sports arbitration principles. 
- Webinar series in collaboration with civil society to train young and aspiring business leaders on digitizing businesses using AI and IT solutions to enhance overall business activities. 
- Project to empower Kuwaiti women through art and environmental awareness in collaboration with local civil society via workshops that cover nature art, recycling, and climate change. Inviting women environmentalists, organizing field trips, and concluding with an exhibition 
The Following Program Categories Are Not Eligible for Funding:  
- Programs relating to partisan political activity; 
- Charitable or development activities; 
- Construction programs; 
- Programs that support specific religious activities; 
- Fund-raising campaigns; 
- Lobbying for specific legislation or programs; 
- Scientific research; 
- Programs intended primarily for the growth or institutional development of the organization; or 
- Programs that duplicate existing programs. 
Authorizing Legislation, Type and Year of Funding: 
Funding authority rests in the Smith-Mundt Act. The source of funding is FY2024 Public Diplomacy Funding.  
B. FEDERAL AWARD INFORMATION 
Length of performance period: 1 to 12 months  
Number of awards anticipated: Varies (dependent on amounts) 
Award amounts: Awards may range from a minimum of $5,000 to a maximum of $25,000. 
Total available funding: $125,000 
Type of Funding: Fiscal Year 2024 Smith-Mundt Public Diplomacy Funding 
Anticipated program start date: October 1, 2024 (for a maximum of one year) 
This Notice Is Subject to Funding Availability. 
Funding Instrument Type: Grant, Fixed Amount Award (FAAs), or Cooperative agreement. Cooperative agreements and some FAAs are different from grants in that PAS staff are more actively involved in the grant implementation. If a cooperative agreement or an FAA that includes substantial involvement is used, PAS will include a description of the substantial involvement. 
Program Performance Period: Proposed programs should be completed in 12 months or less.  
Optional: PAS will entertain applications for continuation grants funded under these awards beyond the initial budget period on a non-competitive basis subject to availability of funds, satisfactory progress of the program, and a determination that continued funding would be in the best interest of the U.S. Department of State. 
C. ELIGILIBITY INFORMATION 
1. Eligible Applicants (in the Following Eligibility Order): 
PAS encourages applications from Kuwait based: 
- Registered not-for-profit organizations, including think tanks and civil society/non-governmental organizations. 
- Non-profit educational institutions 
- Individuals  
For-Profit or Commercial Entities Are Not Eligible to Apply.  
2. Cost Sharing or Matching: 
Cost share is not required but is encouraged and will be evaluated positively during the merit review; it will be used to break ties among applications with equivalent scores after evaluation against all other factors. 
3. Other Eligibility Requirements: 
To be eligible to receive an award, all organizations must have a Unique Entity Identifier (UEI) number issued via www.SAM.gov as well as a valid registration on www.SAM.gov. Please see Section D.3 for more information. Individual applicants are not required to have a UEI or be registered in SAM.gov. Applicants are encouraged to only apply for one proposal per organization. If more than one proposal is submitted from an organization, only the most competitive proposal from that organization will be considered for funding. 
D. APPLICATION AND SUBMISSION INFORMATION 
1. Address to Request Application Package 
Application forms required below are available at 
 c 
https://kw.usembassy.gov/grant-application-forms/ 
2. Content and Form of Application Submission 
Please follow all instructions below carefully. Proposals that do not meet the requirements of this announcement or fail to comply with the stated requirements will be deemed ineligible. 
Content of Application 
Please ensure: 
- The proposal shall be clearly reflect the goals and objectives of this funding opportunity. 
- All documents shall be in English. 
- All budgets shall be in U.S. dollars. 
- All pages shall be numbered. 
- All documents shall be formatted to 8 Â½ x 11 paper, and 
- All Microsoft Word documents shall be single-spaced, 12 point Calibri font, with a minimum of 1-inch margins. 
The following documents are required: 
1. Mandatory application forms 
- SF-424 (Application for Federal Assistance â€“ organizations) or SF-424-I (Application for Federal Assistance -- individuals)  
- SF424A (Budget Information for Non-Construction programs)  
- (Assurances for Non-Construction programs) 
- Completed Grant Proposal Form 
2. Summary Coversheet: Cover sheet stating the applicant name and organization, proposal date, program title, program period proposed start and end date, and brief purpose of the program. 
3. Proposal (5 pages maximum): The proposal should contain sufficient information that anyone not familiar with it would understand exactly what the applicant wants to do.  
Please see the attached document for complete details of the Annual Program Statement. 
3. Unique Entity Identifier and System for Award Management (SAM.gov) 
Required Registrations: 
Please see the attached document for complete details of the Annual Program Statement. 
4. Submission Dates and Times 
Applications may be submitted for consideration at any time before the closing date of May 31, 2024. No applications will be accepted after that date.  
5. Funding Restrictions 
Award funds cannot be used for construction, vehicle purchases, etc. 
6. Other Submission Requirements 
All application materials must be submitted by email to PASKuwaitM@state.gov. 
E. APPLICATION REVIEW INFORMATION 
1. Criteria 
Each application will be evaluated and rated on the basis of the evaluation criteria outlined below. The criteria listed are closely related and are considered as a whole in judging the overall quality of an application.  
Organizational capacity and record on previous grantsâ€“ 20 points: The organization has expertise in its stated field and PAS is confident of its ability to undertake the program. This includes a financial management system and a bank account. 
Quality and Feasibility of the Program Idea â€“ 20 points â€“ The program idea is well developed, with detail about how program activities will be carried out. The proposal includes a reasonable implementation timeline.  
Goals and objectivesâ€“ 15 points: Goals and objectives are clearly stated and program approach is likely to provide maximum impact in achieving the proposed results. 
Embassy prioritiesâ€“ 10 points: Applicant has clearly described how stated goals are related to and support U.S. Embassy Kuwaitâ€™s priority areas or target audiences. 
Budgetâ€“ 10 points: The budget justification is detailed. Costs are reasonable in relation to the proposed activities and anticipated results. The budget is realistic, accounting for all necessary expenses to achieve proposed activities.  
Monitoring and evaluation planâ€“ 15 points: Applicant demonstrates it is able to measure program success against key indicators and provide milestones to indicate progress toward goals outlined in the proposal. The program includes output and outcome indicators, and shows how and when those will be measured. 
Sustainabilityâ€“ 10 points: Program activities will continue to have positive impact after the end of the program. 
2. Review and Selection Process 
A review committee will evaluate all eligible applications. 
3. Responsibility/Qualification Information in SAM.gov (formerly, FAPIIS) 
Please see the attached document for complete details of the Annual Program Statement. 
4. Anticipated Announcement and Federal Award Dates: 
July 31, 2024  
F. FEDERAL AWARD ADMINISTRATION INFORMATION 
Please see the attached document for complete details of the Annual Program Statement. 
G. FEDERAL AWARDING AGENCY CONTACTS 
If you have any questions about the grant application process, please contact PAS at: PASKuwaitM@state.gov 
Note: We do not provide any pre-consultation for application related questions that are addressed in the NOFO. Once an application has been submitted, State Department officials and staff â€” both in the Department and at embassies overseas â€” may not discuss this competition with applicants until the entire proposal review process is completed. 
H. OTHER INFORMATION  
Please see the attached document for complete details of the Annual Program Statement. 
</t>
  </si>
  <si>
    <t>Antimicrobial Resistance Dashboard 2024 Cooperative Agreements</t>
  </si>
  <si>
    <t>Others (see text field entitled "Additional Information on Eligibility" for clarification) 1. State departments of agriculture  2. Offices of the chief animal health official of a State  3. Nonprofits  4. Institutions of higher education  5. State or national livestock, poultry, or aquaculture producer organizations with direct and significant economic interest in livestock, poultry, or aquaculture production  6. State, national, allied, or regional veterinary organizations or specialty boards recognized by the American Veterinary Medical Association  7. Tribal entities</t>
  </si>
  <si>
    <t>The United States Department of Agricultureâ€™s (USDA) Animal and Plant Health Inspection Service (APHIS) Veterinary Services (VS) is announcing the availability of cooperative agreement funding to carry out the Antimicrobial Resistance Dashboard (AMR Dashboard) as described in the U.S. House of Representatives Report for the Agriculture, Rural Development, Food and Drug Administration, and Related Agencies Appropriations Bill, 2021. Through public-private partnerships, USDA APHIS will develop and utilize antimicrobial resistance dashboard tools to improve access to information on antimicrobial resistance in domesticated animals, including livestock, poultry, and companion animals. All antimicrobial resistance dashboard tools developed will provide data protections similar to the Confidential Information Protection and Statistical Efficiency Act. Once created, the antimicrobial resistance dashboard tools will be used to monitor trends in antimicrobial resistance patterns, detect emerging resistance profiles, and better understand relationships between antimicrobial use and animal health management practices and antimicrobial resistance. Additional details about the program and this funding opportunity, including additional information for applicants, are available at USDA APHIS One Health â€“ Funding Opportunities.</t>
  </si>
  <si>
    <t>BJA FY24 Collaborative Crisis Response and Intervention Training Program</t>
  </si>
  <si>
    <t>With this solicitation, BJA seeks to support law enforcement, correctional officers, probation and parole, and sheriffâ€™s departments in effectively partnering with mental health, substance use, community service professionals and agencies to promote public safety and make sure that appropriate responses are provided to individuals in crisis who have behavioral health conditions, intellectual disabilities, developmental disabilities, or physical disabilities, and/or traumatic brain injuries.</t>
  </si>
  <si>
    <t>COLUMBIA RIVER BASIN RESTORATION FUNDING ASSISTANCE PROGRAM: SCIENCE AND MONITORING COMPETITION</t>
  </si>
  <si>
    <t>The U.S. Environmental Protection Agency, Region 10 (EPA), is issuing a Request for Applications (RFA) from eligible entities to improve the understanding of toxics and their effects on water quality in the Columbia River Basin by increasing the number, type, and scientific rigor of toxics monitoring projects in the Columbia River Basin through specific actions in three program priority areas: 1) characterization and spatiotemporal trend analysis; 2) pathway identification; and/or 3) novel methods and approaches. The Columbia River Basin Restoration Program (CRBRP) will assist Tribal, state, and local governments; nongovernmental entities, and others as they implement the 2010 Columbia River Basin Toxics Reduction Action Plan and the Lower Columbia River Estuary Plan - Comprehensive Conservation and Management Plan and conduct activities to support EPA national goals for the Columbia River Basin.</t>
  </si>
  <si>
    <t>Promoting the Integration of Primary and Behavioral Health Care: States</t>
  </si>
  <si>
    <t>Others (see text field entitled "Additional Information on Eligibility" for clarification) Eligibility for this program is statutorily limited to a State or appropriate State agency. Appropriate state agencies include the State Mental Health Authority, the Single State Agency (SSA) for substance abuse services, the State Medicaid agency, or the State Health Department. Applicants must collaborate with one or more qualified community programs, as described in section 1913(b)(1) of the PHS Act (including community mental health centers, child mental health programs, psychosocial rehabilitation programs, and mental health peer-support or consumer-directed programs); one or more health centers [as defined in section 330(a)]; one or more rural health clinics (as defined in section 1861(aa) of the Social Security Act); or one or more Federally Qualified Health Centers (FQHCs) (as defined section 1861(aa) of the Social Security Act).</t>
  </si>
  <si>
    <t>The purpose of this program is to (a) promote full integration and collaboration in clinical practices between physical and behavioral health care; (b) support the improvement of integrated care models for physical and behavioral health care to improve overall wellness and physical health status; and (c) promote the implementation and improvement of bidirectional integrated care services, including evidence-based or evidence-informed screening, assessment, diagnosis, prevention, treatment, and recovery services for mental and substance use disorders, and co-occurring physical health conditions and chronic diseases through integrated care. State recipients are expected to partner with qualified community programs, health centers, rural health clinics, or Federally Qualified Health Centers to develop and implement an integration program plan. With this program, SAMHSA aims to improve the health outcomes for persons with behavioral health conditions by supporting the adoption and improvement of integrated care models for behavioral and primary physical health.</t>
  </si>
  <si>
    <t>Promoting the Integration of Primary and Behavioral Health Care: Collaborative Care Model</t>
  </si>
  <si>
    <t>Others (see text field entitled "Additional Information on Eligibility" for clarification) Eligibility for this program is statutorily limited to a state or appropriate state agency. Appropriate state agencies include the State Mental Health Authority, the Single State Agency (SSA) for substance use services, the State Medicaid agency, or the State Health Department. State agencies participating in this program will work with at least three primary care practices to develop the staffing and systems necessary to implement the CoCM.</t>
  </si>
  <si>
    <t>The purpose of this program is to support implementation of the Collaborative Care Model (CoCM). The CoCM is an evidence-based, integrated care approach that addresses mental and substance use conditions in primary care settings. Care is provided by a primary care team and includes a case manager, consulting psychiatrist, and other mental health professionals. Recipients will be expected to work with at least three primary care practices to develop the staffing and systems necessary to implement the CoCM. With this program, SAMHSA aims to increase the identification and treatment of mental health conditions for individuals who access care through primary care practices that too often go untreated and cause disability.</t>
  </si>
  <si>
    <t>National Center on Historically Black Colleges and Universities (HBCUs), Tribally Controlled Colleges and Universities (TCCUs), and Other Minority Serving Institutions (MSIs) to Diversify the Workforce Serving Children with Disabilities, ALN 84.325B</t>
  </si>
  <si>
    <t>Nonprofits having a 501(c)(3) status with the IRS, other than institutions of higher education 1.  Eligible Applicants:  HBCUs, TCCUs, MSIs, and private nonprofit organizations that have legal authority to enter into grants and cooperative agreements with the Federal government on behalf of an HBCU, TCCU, or MSI.Note:  If you are a nonprofit organization, under 34 CFR 75.51, you may demonstrate your nonprofit status by providing:  (1) proof that the Internal Revenue Service currently recognizes the applicant as an organization to which contributions are tax deductible under section 501(c)(3) of the Internal Revenue Code; (2) a statement from a State taxing body or the State attorney general certifying that the organization is a nonprofit organization operating within the State and that no part of its net earnings may lawfully benefit any private shareholder or individual; (3) a certified copy of the applicant s certificate of incorporation or similar document if it clearly establishes the nonprofit status of the applicant; or (4) any item described above if that item applies to a State or national parent organization, together with a statement by the State or parent organization that the applicant is a local nonprofit affiliate.</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</si>
  <si>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purposes of this program are to (1) help address State-identified needs for personnel preparation in special education, early intervention, related services, and regular education to work with children, including infants, toddlers, and youth with disabilities; and (2) ensure that those personnel have the necessary knowledge, skills, and competencies derived from practices that have been determined through scientifically based research, to be successful in serving those children. 
Assistance Listing Number (ALN) 84.325B.</t>
  </si>
  <si>
    <t>DRL Combatting Descent-based Slavery in the Sahel Region of West Africa</t>
  </si>
  <si>
    <t>Unrestricted (i.e., open to any type of entity above), subject to any clarification in text field entitled "Additional Information on Eligibility" DRL welcomes applications from U.S.-based and foreign-based non-profit organizations/nongovernmental organizations (NGO) and public international organizations; private, public, or state institutions of higher education; and for-profit organizations or businesses.  DRL s preference is to work with non-profit entities; however, there may be some occasions when a for-profit entity is best suited.  
Applications submitted by for-profit entities may be subject to additional review following the panel selection process.  Additionally, the Department of State prohibits profit to for-profit or commercial organizations under its assistance awards.  Profit is defined as any amount in excess of allowable direct and indirect costs.  The allowability of costs incurred by commercial organizations is determined in accordance with the provisions of the Federal Acquisition Regulation (FAR) at 48 CFR 30, Cost Accounting Standards Administration, and 48 CFR 31 Contract Cost Principles and Procedures.</t>
  </si>
  <si>
    <t>The U.S. Department of State, Bureau of Democracy, Human Rights, and Labor (DRL) announces an open competition for organizations interested in eradicating descent-based slavery and discrimination towards enslaved and formerly enslaved persons in the Sahel region of West Africa.  Two projects will be awarded; one for Mauritania only and one regional project, focused on two or more countries in the Sahel region of West Africa.  If applying to both opportunities, applicants should submit two separate applications.</t>
  </si>
  <si>
    <t>Solar and Wind Interconnection for Future Transmission (SWIFTR)</t>
  </si>
  <si>
    <t>Unrestricted (i.e., open to any type of entity above), subject to any clarification in text field entitled "Additional Information on Eligibility" Domestic Entities_x000D_
The proposed prime recipient and subrecipient(s) must be domestic entities. The following types of domestic entities are eligible to participate as a prime recipient or subrecipient of this FOA:_x000D_
1._x000D_
Institutions of higher education;_x000D_
2._x000D_
For-profit entities;_x000D_
3._x000D_
Nonprofit entities; and_x000D_
4._x000D_
State and local governmental entities and federally recognized Indian Tribes (Indian Tribes)._x000D_
To qualify as a domestic entity, the entity must be organized, chartered, or incorporated (or otherwise formed) under the laws of a particular state or territory of the United States; have majority domestic ownership and control; and have a physical place of business in the United States._x000D_
DOE/NNSA FFRDCs are eligible to apply for funding as a subrecipient but are not eligible to apply as a prime recipient._x000D_
Non-DOE/NNSA FFRDCs are eligible to participate as a subrecipient but are not eligible to apply as a prime recipient._x000D_
Federal agencies and instrumentalities (other than DOE) are eligible to participate as a subrecipient but are not eligible to apply as a prime recipient._x000D_
Entities banned from doing business with the United States government such as entities debarred, suspended, or otherwise excluded from or ineligible for participating in federal programs are not eligible. _x000D_
_x000D_
Nonprofit organizations described in Section 501(c)(4) of the Internal Revenue Code of 1986 that engaged in lobbying activities after December 31, 1995, are not eligible to apply for funding.</t>
  </si>
  <si>
    <t>This Funding Opportunity Announcement (FOA) is jointly issued by the U.S. Department of Energy Solar Energy Technologies Office (SETO) and Wind Energy Technologies Office (WETO) as part of their Interconnection Innovation Exchange (i2X) program1 to support innovative work to enable simpler, faster, and fairer interconnection of clean energy resources while enhancing the reliability, resiliency, and security of our electrical grid._x000D_
_x000D_
The two FOA topic areas are as follows:_x000D_
_x000D_
Topic Area 1: Improved Efficiency of EMT Simulations for Interconnection Studies of IBRs Projects in this topic area will seek to improve the efficiency of the interconnection study process for new IBRs, such as solar and wind plants and battery energy storage systems, by improving software tools to study plant dynamics to increase long-term plant reliability. Projects will achieve this both by improving the speed of advanced, high-fidelity EMT modeling and simulation tools used in power systems interconnection studies and by developing a better understanding of when such high-fidelity simulations are necessary in the interconnection process._x000D_
_x000D_
Topic Area 2: Dynamic Stability-Enhanced Network Assessment Tools Projects in this topic area will develop tools to provide stakeholders with data on transmission system characteristics related to stability, voltage, and grid strength while securing confidential and critical energy infrastructure information. Projects will establish the type of information required by stakeholders, develop a tool or tools, and test and evaluate those tools on at least one real transmission system._x000D_
_x000D_
Topic Area 1 is primarily focused on the improvement of software tools, methods, or processes used to conduct EMT studies, the results of which will inform the transmission system interconnection stakeholders in Topic Area 2. Projects in Topic Area 2 do not need to be focused solely on transmission system characteristics based on EMT studies.</t>
  </si>
  <si>
    <t>FY24 Annual Call For Proposals</t>
  </si>
  <si>
    <t>DOS-JAM</t>
  </si>
  <si>
    <t>U.S. Mission to Jamaica</t>
  </si>
  <si>
    <t>Others (see text field entitled "Additional Information on Eligibility" for clarification) The FY24 Call for Proposals is seeking a range of eligible applicants which include: Registered not-for-profit organizations, including think tanks, community-based organizations, and civil society/non-governmental organizations with program/project management experience, Individuals, U.S. exchange alumni, Non-profit or governmental educational institutions, and Governmental institutions.</t>
  </si>
  <si>
    <t>The U.S. Embassy Kingston Public Affairs Section (PAS) of the U.S. Department of State is pleased to announce that funding is available through its Public Diplomacy Grants Program. This Annual Program Statement outlines our funding priorities, strategic themes, and the procedures for submitting requests for funding. The deadline is necessary to provide sufficient time to process and award programs in advance of the end of our fiscal year on September 30, 2024.</t>
  </si>
  <si>
    <t>BJA FY 2024 Enhancing Correctional Practices to Protect Vulnerable People: Technical Assistance and Microgrant Program</t>
  </si>
  <si>
    <t>With this solicitation, BJA will award one cooperative agreement to fund an organization to administer a competitive microgrant program and provide training and technical assistance (TTA) to agencies working to protect vulnerable people in prisons, jails, and other confinement settings, and to reduce reliance on restrictive or punitive approaches. Vulnerable people include, but are not limited to, those with one or more physical disability, severe/persistent mental illness, or who are LGBTQ+, youthful inmates in adult facilities, blind, deaf, or non-English speaking.</t>
  </si>
  <si>
    <t>DOS-GTM</t>
  </si>
  <si>
    <t>U.S. Mission to Guatemala</t>
  </si>
  <si>
    <t>Unrestricted (i.e., open to any type of entity above), subject to any clarification in text field entitled "Additional Information on Eligibility" The following organizations are eligible to apply:
 	U.S.-based non-profit/non-governmental organizations (NGOs);
 	U.S.-based educational institutions subject to section 501(c)(3) of the U.S. tax code or section 26 US 115 of the US 115 of the U.S. tax code;
 	Foreign-based non-profits/non-governmental organizations (NGOs);
 	Foreign-based educational institutions</t>
  </si>
  <si>
    <t>Gender based violence (GBV) in Guatemala has increased significantly during the pandemic and vulnerable populations including minors are among the victims. The Secretariat Against Sexual Violence, Exploitation, and Trafficking in Persons (SVET) of the Guatemalan Government is the entity with the mandate to ensure the coordination of the prevention, security, justice, welfare, and attention from local authorities to victims and create awareness of these crimes. Cultural awareness and crime prevention in Guatemala have been delegated to the National Civil Police (PNC). However, there are multiple institutions who work with SVET that need to take a more active role in addressing these crimes.  The Ministry of Education (MINEDUC) is one of these stakeholders, who has the key responsibility of promoting positive values and addressing these kinds of issues with the next generation of Guatemalans. SVET has interinstitutional agreements between them and both MINEDUC and PNC to coordinate and collaborate in topics related to sexual violence, exploitation, and TIP.
Standardize and strengthen SVET, with strong knowledge in sexual crimes, exploitation, trafficking in persons (TIP) and a capable train the trainer program to coordinate all the Government of Guatemala (GoG) institutions to conduct awareness campaigns to combat sexual and GBV by rejecting stereotypes and cultural norms that permit these crimes. In addition, empower SVET to identify and initiate through corresponding authorities investigations against criminal structures engaged in money laundering and human trafficking.</t>
  </si>
  <si>
    <t>Active Transportation Infrastructure Investment Program</t>
  </si>
  <si>
    <t>Others (see text field entitled "Additional Information on Eligibility" for clarification) Local or Regional Governmental Organizations;Multicounty Special Districts;State;Multistate Group of Governments; orAn Indian Tribe.</t>
  </si>
  <si>
    <t>This Notice of Funding Opportunity will result in the distribution of up to $44,550,000 for two different categories of grants: (1) Planning and Design Grants and (2) Construction Grants.The Active Transportation Infrastructure Investment Program (ATIIP) projects will help improve the safety, efficiency, and reliability of active transportation networks and communities; improve connectivity between active transportation modes and public transportation; enhance the resiliency of on- and off-road active transportation infrastructure and help protect the environment; and improve quality of life in disadvantaged communities through the delivery of connected active transportation networks and expanded mobility opportunities.The ATIIP grants will allow communities to identify, prioritize, and implement improvements to the largest barriers to safe, accessible, and equitable pedestrian and bicycle network connectivity through the development of infrastructure that will provide substantial additional opportunities for walking and bicycling. Eligible organizations will be able to create plans or implement active transportation networks that connect destinations within or between communities or create plans or implement an active transportation spine connecting two or more communities, metropolitan regions, or States. The ATIIP also provides an opportunity for eligible organizations to enhance their overall transportation network by integrating active transportation facilities with transit services, where available, to improve access to public transportation.AMENDMENT 1 TO NOFO issued on 4/15/2024: The purpose of this amendment is to change "Eastern Standard Time" to "Eastern Daylight Time" in the NOFO.</t>
  </si>
  <si>
    <t>Native American Language Preservation and Maintenance-Esther Martinez Immersion</t>
  </si>
  <si>
    <t>HHS-ACF-ANA</t>
  </si>
  <si>
    <t>Administration for Children and Families - ANA</t>
  </si>
  <si>
    <t>Others (see text field entitled "Additional Information on Eligibility" for clarification) Pursuant to 42 U.S.C.  2991b and 45 CFR  1336.33, eligible applicants under this funding opportunity are:Federally recognized Indian tribes, as recognized by the Bureau of Indian Affairs (BIA); Incorporated non-federally recognized tribes; Incorporated state-recognized Indian tribes; Consortia of Indian tribes; Incorporated non-profit multi-purpose community-based Indian organizations (Including Urban Indian Organizations as defined by 25 U.S.C.   1603(29)); Urban Indian Centers; Native Community Development Financial Institutions (Native CDFIs); Alaska Native villages as defined in the Alaska Native Claims Settlement Act (ANCSA) and/or non-profit village consortia; Non-profit Native organizations in Alaska with village-specific projects; Incorporated non-profit Alaska Native multipurpose, community-based organizations; Non-profit Alaska Native Regional Corporations/Associations in Alaska with village- specific projects; Non-profit Alaska Native community entities or tribal governing bodies (Indian Reorganization Act or Traditional Councils) as recognized by the BIA; Public and non-profit private agencies serving Native Hawaiians; National or regional incorporated non-profit Native American organizations with Native American community-specific objectives; Public and non-profit private agencies serving Native peoples from Guam, American Samoa, or the Commonwealth of the Northern Mariana Islands; Tribal Colleges and Universities, and colleges and universities located in Hawaii, Guam, Amer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</si>
  <si>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This NOFO has been modified to change the application due date, as a result of changes to the Grants.gov maintenance schedule.The Administration for Children and Families, Administration for Native Americans announces that it will be soliciting applications for the Native American Language Preservation and Maintenance - Esther Martinez Immersion program (EMI). The program provides funding for community-based projects that ensure continuing vitality of Native languages through immersion-based instruction. Programs funded under the EMI notice of funding opportunity must meet the requirements for either a Native American Language Nest, or a Native American Survival School. As defined by Esther Martinez Native American Languages Preservation Act (42 U.S.C. Â§ 2991b-3(b)(7)), Language Nests are "site-based educational programs that- (i) provide instruction and child care through the use of a Native American language for at least 5 children under the age of 7 for an average of at least 500 hours per year per student," and Native American Survival Schools are "site-based educational programs for school-age students that- (i) provide an average of at least 500 hours of instruction through the use of 1 or more Native American languages for at least 10 students for whom a Native American language survival school is their principal place of instruction."</t>
  </si>
  <si>
    <t>Native American Language Preservation and Maintenance</t>
  </si>
  <si>
    <t>Others (see text field entitled "Additional Information on Eligibility" for clarification) Pursuant to 42 U.S.C.  2991b-3 and 45 CFR  1336.33, eligible applicants under this funding opportunity are: Federally recognized Indian tribes, as recognized by the Bureau of Indian Affairs (BIA); Incorporated non-federally recognized tribes; Incorporated state-recognized Indian tribes; Consortia of Indian tribes; Incorporated non-profit multi-purpose community-based Indian organizations (Including Urban Indian Organizations as defined by 25 U.S.C.   1603(29)); Urban Indian Centers; Native Community Development Financial Institutions (Native CDFIs); Alaska Native villages as defined in the Alaska Native Claims Settlement Act (ANCSA) and/or non-profit village consortia; Non-profit Native organizations in Alaska with village-specific projects; Incorporated non-profit Alaska Native multipurpose, community-based organizations; Non-profit Alaska Native Regional Corporations/Associations in Alaska with village-specific projects; Non-profit Alaska Native community entities or tribal governing bodies (Indian Reorganization Act or Traditional Councils) as recognized by the BIA; Public and non-profit private agencies serving Native Hawaiians; National or r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</si>
  <si>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This NOFO has been modified to change the application due date, as a result of changes to the Grants.gov maintenance schedule.The Administration for Children and Families (ACF), Administration for Native Americans (ANA) announces that it will be soliciting applications for the Native American Language Preservation and Maintenance program. This program provides funding for projects to support assessments of the status of the native languages in an established community, as well as the planning, designing, restoration, and implementing of native language curriculum and education projects to support a community's language preservation goals. Native American communities include American Indian tribes (federally-recognized and non-federally recognized), Native Hawaiians, Alaskan Natives, and Native American Pacific Islanders.</t>
  </si>
  <si>
    <t>Social and Economic Development Strategies -SEDS</t>
  </si>
  <si>
    <t>Nonprofits having a 501(c)(3) status with the IRS, other than institutions of higher education Pursuant to 42 U.S.C.  2991b and 45 CFR  1336.33, eligible applicants under this announcement are: Federally-recognized Indian tribes, as recognized by the Bureau of Indian Affairs (BIA); Incorporated non-federally recognized tribes; Incorporated state-recognized Indian tribes; Consortia of Indian tribes; Incorporated non-profit multi-purpose community-based Indian organizations (including Urban Indian Organizations as defined by 25 U.S.C   Urban Indian Centers; Native Community Development Financial Institutions (Native CDFIs); Alaska Native villages as defined in the Alaska Native Claims Settlement Act (ANCSA) and/or non-profit village consortia; Non-profit native organizations in Alaska with village-specific projects; Incorporated non-profit Alaska Native multipurpose, community-based organizations; Non-profit Alaska Native Regional Corporations/Associations in Alaska with village-specific projects; Non-profit Alaska Native community entities or tribal governing bodies (Indian Reorganization Act or Traditional Councils) as recognized by the BIA; Public and non-profit private agencies serving Native Hawaiians; National or regional incorporated non-profit Native American organizations with Native American community-specific objectives; Public and non-profit private agencies serving Native peoples from Guam, American Samoa, or the Commonwealth of the Northern Mariana Islands; Tribal Colleges and Universities, and colleges and universities located in Hawaii, Guam, American Samoa, or the Commonwealth of the Northern Mariana Islands that serve Native American Pacific Islanders.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</si>
  <si>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This NOFO has been modified to change the application due date, as a result of changes to the Grants.gov maintenance schedule.The Administration for Children and Families (ACF), Administration for Native Americans (ANA) announces the availability of Fiscal Year (FY) 2024 funds for the Social and Economic Development Strategies (SEDS) program.This program is focused on community-driven projects designed to grow local economies, strengthen Native American families, including the preservation of Native American cultures, and decrease the high rate of current challenges caused by the lack of community-based businesses, and social and economic infrastructure in Native American communities.  Native American communities include American Indian tribes (federally-recognized and non-federally recognized), Native Hawaiians, Alaska Natives, and Native American Pacific Islanders.</t>
  </si>
  <si>
    <t>Social and Economic Development Strategies for Alaska-SEDS-AK</t>
  </si>
  <si>
    <t>Nonprofits having a 501(c)(3) status with the IRS, other than institutions of higher education Pursuant to 42 U.S.C.  2991b and 45 CFR  1336.33, eligible applicants under the SEDS-AK announcement are: Federally-recognized Indian tribes in Alaska, as recognized by the Bureau of Indian Affairs (BIA); Alaska Native villages as defined in the Alaska Native Claims Settlement Act (ANCSA) and/or non-profit village consortia; Non-profit Native organizations in Alaska with village-specific projects; Incorporated non-profit multi-purpose community-based Indian organizations (including Urban Indian Organizations as defined by 25 U.S.C.   1603)(29)); Urban Indian Centers; Native Community Development Financial Institutions (Native CDFIs); Incorporated non-profit Alaska Native multipurpose, community-based organizations; Non-profit Alaska Native Regional Corporations/Associations in Alaska with village-specific projects; or Non-profit Alaska Native community entities or tribal governing bodies (Indian Reorganization Act or Traditional Councils) as recognized by the BIA. If the applicant is not a Federally-recognized Alaskan Native tribal government, applicants must provide proof that a majority of the governing board of individuals are representative of the Alaskan Native community to be served.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</si>
  <si>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This NOFO has been modified to change the application due date, as a result of changes to the Grants.gov maintenance schedule.The Administration for Children and Families (ACF), Administration for Native Americans (ANA) announces the availability of Fiscal Year (FY) 2024 funds for community-based projects for the Social and Economic Development Strategies-Alaska (SEDS-AK) program.SEDS-AK is designed to provide targeted support for Village-specific projects to improve and enhance the core capacity of Alaska Native Village governments, who are central to fulfilling social and economic self-sufficiency in Alaska. This program promotes economic and social self-sufficiency for Alaska Natives and is intended to respond to the unique governmental structures and needs in Alaska. The SEDS-AK supports the principle that social and economic development is interrelated and essential for the growth of thriving Native communities. ANA is interested in supporting community-driven projects that build and strengthen core governmental capacity in the areas of administration and project management at the Alaska Native Village level.</t>
  </si>
  <si>
    <t>Environmental Regulatory Enhancement</t>
  </si>
  <si>
    <t>Native American tribal governments (Federally recognized) Pursuant to 42 U.S.C.  2991b and 45 CFR  1336.33, eligible applicants under this announcement are:Federally-recognized Indian tribes, as recognized by the Bureau of Indian Affairs (BIA); Incorporated non-federally recognized tribes; Incorporated state-recognized Indian tribes; Non-profit Alaska Native community entities or tribal governing bodies (Indian Reorganization Act (IRA) or traditional councils) as recognized by the BIA; Non-profit Alaska Native Regional Associations and/or Corporations with village specific projects; Other tribal or village organizations or consortia of Indian tribes or Tribal governing bodies (IRA or traditional councils) as recognized by the BIA.Eligible applicants include Alaska Native villages as defined in the Alaska Native Claims Settlement Act and/or non-profit village consortia; non-profit Alaska Native Regional Corporations/Associations with village-specific projects; other tribal or village organizations or consortia of Indian tribes; and tribal governing bodies (Indian Reorganization Act or traditional councils) as recognized by the Bureau of Indian Affairs.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</si>
  <si>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This NOFO has been modified to change the application due date, as a result of changes to the Grants.gov maintenance schedule.The Administration for Children and Families, Administration for Native Americans announces the availability of Fiscal Year 2024 funds for community-based projects for the Environmental Regulatory Enhancement (ERE) program. The ERE program provides funding for the costs of planning, developing, and implementing programs designed to improve the capability of tribal governing bodies to regulate environmental quality pursuant to federal and tribal environmental laws.</t>
  </si>
  <si>
    <t>ROSES 2024: A.43 Earth Action: Health and Air Quality</t>
  </si>
  <si>
    <t xml:space="preserve">Please note that this program requests optional Notices of Intent, which are due via NSPIRES by July 8,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</si>
  <si>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BJA FY24 Internet of Things National Training and Technical Assistance Program</t>
  </si>
  <si>
    <t>With this solicitation BJA seeks to provide training and technical assistance (TTA) to state, local, territorial, and tribal law enforcement officials; intelligence analysts; prosecutors; judges; fusion center staff; and other criminal justice entities who prevent, investigate, and respond to crimes that use wireless devices. These crimes are committed using networked computers, handheld devices, and internet technology; some examples include various kinds of theft (financial, identity, etc.), cyberstalking, hijacking accounts on social networking websites, infrastructure intrusions, and hacking (i.e., reconfiguring or reprogramming a system to function in ways not approved by the owner, administrator, or designer).</t>
  </si>
  <si>
    <t>BJA FY24 Second Chance Act Smart Supervision Program</t>
  </si>
  <si>
    <t>State governments For the purposes of this solicitation,   refers to an organizing body or association of supervision agencies that may submit a single application for a Smart Supervision project engaging more than one supervision office, district, or agency ( ) The applicant must have capacity to administer the award and include a Memorandum of Understanding or Letter of Intent from each entity s chief executive.</t>
  </si>
  <si>
    <t>With this solicitation, BJA seeks to provide grants to jurisdictions to improve outcomes for adults on community supervision. The Second Chance Act (SCA) of 2007 (Public Law 110-199), reauthorized by the First Step Act of 2018, provides a comprehensive response to assist in the transition individuals make from adult confinement facilities (e.g., jails, prisons, detention centers) to their communities so that the transition is successful and promotes public safety. The SCA is designed to help communities develop and implement comprehensive strategies that address the challenges posed by reentry and recidivism reduction. The Smart Supervision Program is part of the SCA suite of programs in fiscal year (FY) 2024.</t>
  </si>
  <si>
    <t>FY 2024 Online Professional English Network (OPEN) Program</t>
  </si>
  <si>
    <t>Nonprofits having a 501(c)(3) status with the IRS, other than institutions of higher education Please see full announcement.</t>
  </si>
  <si>
    <t>The Office of English Language Programs (ECA/A/L) of the Bureau of Educational and Cultural Affairs announces an open competition for the FY 2024 Online Professional English Network (OPEN) Program, which offers foreign English teaching professionals and language learners the opportunity for professional development through high-quality, accessible, and openly licensed virtual resources, including online English language teacher development courses, online English language learning courses, virtual exchanges, webinars, an alumni community of practice (CoP), multiple social media channels, and other types of engaging and innovative online learning. In cooperation with ECA/A/L, the award recipient will manage the selection, development, and delivery of appropriate online TESOL (Teaching English to Speakers of Other Languages) learning courses which will be offered to English language educators or learners on an easily accessible online learning management system (LMS). Courses, webinars, and other virtual programming may be offered globally, regionally, or to specific countries at the request of U.S. embassies. Courses and exchanges are developed by U.S. academic institutions, educational NGOs, or TESOL professional associations, while webinars and other social media programming are developed by U.S.-based TESOL professionals. All content produced for this program should be accessible according to Section 508 compliance standards, openly licensed with a Creative Commons Attribution (CC BY) License, and follow best practices for diversity, equity, inclusion, and accessibility (DEIA). Please see the full announcement for additional information.</t>
  </si>
  <si>
    <t>FY 2024 American Music Mentorship Program (AMMP)</t>
  </si>
  <si>
    <t>Others (see text field entitled "Additional Information on Eligibility" for clarification) Please see full announcement.</t>
  </si>
  <si>
    <t xml:space="preserve">The U.S. Department of Stateâ€™s Bureau of Educational Cultural Affairs (ECA) announces the American Music Mentorship Program (AMMP) open competition for one cooperative agreement to support a mentorship residency for music industry professionals from around the world. AMMP is a two-to-three-week U.S.-based mentorship residency for approximately 20 mid-career music industry professionals (â€œmenteesâ€) from three to five countries.  AMMP is ECAâ€™s Global Music Diplomacy Initiativeâ€™s (GMDI) mentorship program, first announced by U.S. Secretary of State Blinken in September 2023 in response to the PEACE through Music Diplomacy Act. The program seeks to bolster music ecosystems, which play a vital role in fostering diverse and inclusive societies, championing innovation, protecting free expression, promoting economic opportunity, and contributing to the vitality of a civil society. AMMP is facilitated by a partnership between ECA and a private sector partner. With ECA input, the private sector partner will lead the recruitment and selection process and secure American professionals from its membership to serve as â€œmentors,â€ who will volunteer their time.  Mentors will be available four days during the in-person program and meet virtually monthly with the mentees for up to a year following the residency. Mentors will provide behind-the-scenes access, bolster the menteesâ€™ technical skills and build the foundations for lasting professional networks.  
Mentees will represent careers that support creative talent and build the music industry infrastructure in their home countries and demonstrate English language proficiency. Mentees will be recruited and selected in cooperation with participating U.S. Embassies and Consulates.  Areas of specialization, or â€œprofessional tracks,â€ will be determined each year between the ECA and the private sector partner in cooperation with the award recipient and in line with needs of the participating countries.  Mentees will be paired with mentors in the U.S. music industry who are in the same professional track and who bolster menteeâ€™s professional skills and build networks.  
Mentees will travel to the United States for a two-to-three-week residency, which will take place in a site(s) that have a music industry presence and/or access to individual experts, from small/niche companies, independent labels, mid-sized companies, and larger industry businesses. During the residency, mentees work with expert workshop facilitators and mentors to receive state-of-the-art-training and industry access. Mentees will participate in professional workshops, small and full group forums, cross-industry collaborations, site visits, and develop post-program action plans. Program activities will provide opportunities for professional networking, career planning, and skills-building that create a holistic professional experience through a robust exchange of ideas and training by utilizing in-person and virtual approaches. Mentors and mentees will meet virtually monthly for approximately one year to develop mentee career plans and ensure sustainable effects of the program. Some of these sessions may occur prior to the in-person residency, but the majority should take place after the mentees have returned to their home countries.  The recipient will coordinate and track the virtual component throughout the course of the year-long mentorship. 
The recipient must manage complex logistics, meet strict timelines, manage the needs of private sector partners and mentors, and promote the program through media and social media and develop a plan to share progress, status, updates and outcomes of program components with relevant stakeholders.  
Only one proposal will be considered by ECA from each applicant organization. In cases where more than one submission from an applicant appears in grants.gov, ECA will only consider the submission made closest in time to the NOFO deadline; that submission would constitute the one and only proposal ECA would review from that applicant.  
Please see full announcement for additional information. 
 </t>
  </si>
  <si>
    <t>FY 2024 Leaders Lead On-Demand Program</t>
  </si>
  <si>
    <t>The Office of Citizen Exchanges at the U.S. Department of Stateâ€™s Bureau of Educational and Cultural Affairs (ECA) invites proposals for the FY 2024 Leaders Lead On-Demand program (LLOD). LLOD takes ideas generated across the U.S. Department of State and develops them into uniquely tailored, multi-segmented projects. LLOD supports U.S. foreign policy goals by enabling ECA to quickly respond to emerging foreign policy priorities. U.S. public and private non-profit organizations meeting the provisions described in Internal Revenue Code section 26 USC 501(c)(3) may submit proposals to provide a series of multi-segmented exchange projects ranging in size and scope, each involving current or potential government, business, and civil society leaders. It is anticipated that this cooperative agreement will support four to six distinct exchange projects for approximately 75 participants including approximately 55 foreign participants and 20 from the United States.A central component of each project will include a group of foreign participants who will ideally travel to the United States for an intensive, tailored program. Activities could offer a range of program components that may include participation in workshops, meetings, events, mentorships, or working placements in U.S. organizations or businesses. Any U.S.-based program should be complemented by at least one additional segment overseas that should include U.S. participants. Both foreign and U.S. participants should have experience or expertise in the field of the exchange project and U.S. participants should engage with the foreign participants during both the U.S. and foreign program components. The award recipient will work closely with ECA, other Department of State representatives, in-country or regionally-based partner organizations, as appropriate, to recruit, screen, and select the participants and develop program activities that best address the specific project goal(s).Please see full announcement for additional information.</t>
  </si>
  <si>
    <t>Cultural and Community Resilience</t>
  </si>
  <si>
    <t>Private institutions of higher education See C. Eligibility Information in the NOFO for more information.</t>
  </si>
  <si>
    <t>The National Endowment for the Humanities (NEH) Division of Preservation and Access is accepting applications for the Cultural and Community Resilience program. This program supports community-based efforts to address the impacts of climate change and COVID-19 by safeguarding cultural resources and fostering cultural resilience through identifying, documenting, and/or collecting cultural heritage and community experiences. The program prioritizes projects from disadvantaged communities in the United States or its jurisdictions, and NEH encourages applications that employ inclusive methodologies.</t>
  </si>
  <si>
    <t>Advancing Sustainable Chemistry</t>
  </si>
  <si>
    <t>Sustainable chemistry produces compounds or materials with intentional design, manufacture, use, and end-of-life management. Across their lifecycle, sustainable chemicals promote circularity, meet societal needs, and contribute to economic resilience. The introduction of more sustainable chemical products, processes, and technologies are needed to address emerging and growing challenges and opportunities for the economy, climate action, and environmental justice. This Request for Applications (RFA) is soliciting research for data, methods, and systems that lead to actionable, scalable change toward chemistry, chemicals, and products that support sustainable chemistry.</t>
  </si>
  <si>
    <t>FY 2024 Global Sports Mentoring Program</t>
  </si>
  <si>
    <t xml:space="preserve">The Office of Citizen Exchanges, Sports Diplomacy Division (ECA/PE/C/SU), in the Bureau of Educational and Cultural Affairs (ECA) announces an open competition for the implementation of the FY 2024 Global Sports Mentoring Program (GSMP). U.S. public and private non-profit organizations meeting the provisions described in Internal Revenue Code section 26 U.S.C. 501(c)(3) may submit proposals to conduct two separate month-long professional development mentorship programs and a reciprocal overseas exchange involving approximately 70-80 international and American participants in total (30 emerging leader participants from other countries and 40-50 American mentors). By empowering women and people with disabilities, the GSMP directly supports U.S. foreign policy goals, promotes social inclusion, and elevates the status of marginalized populations. Through the mentorship experience, the GSMP encourages mutually beneficial relationships between American sports executives and leaders in the sports sector overseas. Furthermore, the GSMP engages alumni from previous years through sustained U.S. Embassy relationships, follow-on individual grants to alumni, and monitoring and evaluation. Tapping into the power of public-private partnerships and founded on participant-led business plans, the GSMP positively affects communities at home and abroad and creates a more secure and democratic global playing field for all.The FY 2024 GSMP model has two distinct professional development mentorship exchangesâ€”the Sport for Community GSMP and the espnW GSMP. Set for spring of 2025, the Sport for Community GSMP on disability rights taps into the global attention received by mega-sporting eventsâ€”in particular, the Paralympic Games, Special Olympics, and Deaflympicsâ€”to connect approximately 15 emerging leader participants with 15 to 20 American mentors in the adaptive sports sector. Sport for Community focuses on increasing the inclusion and full participation of marginalized youth and people with disabilities through sports opportunities worldwide. In fall of 2025, the espnW GSMP on womenâ€™s empowermentâ€”a public-private partnership with espnW (ESPNâ€™s sports brand dedicated to women in sports)â€”will connect approximately 15 female change agents with approximately 15 to 20 American mentors, all of whom are dedicated to promoting the rights and empowerment of women and girls around the world through sports.  From start to finish, the Americans with Disabilities Act (ADA) and Title IX serve as core themes.  By demonstrating how landmark U.S. legislation promotes democratic values and equality, the GSMP underscores American competitiveness and leadership on an international scale.  To keep pace with the burgeoning sport for social change and business trend, the GSMP will also incorporate programmatic elements on how sports philanthropy, marketing, and entrepreneurship play into action plan development and implementation. Please see the full announcement for additional information. </t>
  </si>
  <si>
    <t>FY 2024 Competitive Academic Agreement Program (CAAP)</t>
  </si>
  <si>
    <t>DOT-PHMSA</t>
  </si>
  <si>
    <t>Pipeline and Hazardous Materials Safety Admin</t>
  </si>
  <si>
    <t>The Competitive Academic Agreement Program (CAAP) provides funding for research pursuing innovative solutions in four pipeline safety and integrity challenge areas. PHMSAÂ¿s 2024 CAAP focused on research and development (R&amp;D) that advances equity by encouraging the participation of Minority Serving Institutions (MSIs) and by integrating equity concerns in its research topics (i.e., mitigating climate change through the safe transportation of hydrogen while limiting the risk posed to socially vulnerable communities from aging cast iron pipelines).</t>
  </si>
  <si>
    <t>Mechanisms of Cognitive Fluctuations in ADRD Populations (R01 - Clinical Trial Optional)</t>
  </si>
  <si>
    <t>Independent school districts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</si>
  <si>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"Fluctuating cognition can occur in many types of dementia and is a core clinical feature of Dementia with Lewy Bodies.  Cognitive fluctuations can last from seconds to days, are unpredictable (e.g., do not just occur in the evenings, as with sun-downing), and are associated with poor daily functioning for the patient.  A number of small studies have suggested that cognitive fluctuations in subjects with dementia may be related to epileptiform discharges and impaired oscillatory activity on EEG, but it is not clear that these are the only factors involved in patient populations that often experience dysautonomia, orthostasis, and sleep disturbances.  The etiology of cognitive fluctuations may be multi-factorial and may vary in different dementia populations. Understanding the physiology related to cognitive fluctuations is a critical next step to the development of treatment approaches and improving quality of life for these patients.
This initiate would encourage research that will better characterize the physiology responsible for cognitive fluctuations in ADRD populations.  Given their variable appearance and time course, it is anticipated that wearable digital devices will be important for capturing fluctuations in a timely fashion, and applicants should consider incorporating those device(s) capable of acquiring the relevant data to support the hypothesized mechanism(s).  Applicants may focus on assessing multiple mechanisms in a specific ADRD population, or may chose to compare mechanisms across multiple types of ADRDs. "</t>
  </si>
  <si>
    <t>FY 2024 Youth Ambassadors Programs</t>
  </si>
  <si>
    <t>The Office of Citizen Exchanges, Youth Programs Division of the Bureau of Educational and Cultural Affairs (ECA) announces an FY 2024 open competition for three distinct regional Youth Ambassadors programs (previously called Youth Leadership Programs) with select countries in East Asia and Pacific (EAP), Europe and Eurasia (EUR), and the Middle East and North Africa (NEA). U.S. public and private non-profit organizations meeting the provisions described in Internal Revenue Code section 26 USC 501(c)(3) may submit proposals to provide participants with four-week exchanges in the United States focused on the primary themes of civic education, leadership development, respect for diversity, and community engagement and to support the implementation of service projects in their home communities. The EAP and NEA programs also will engage approximately 3-5 adult mentors in programming alongside youth participants. Competitively selected U.S. secondary students will join participants in U.S.-based activities on the NEA exchanges. Only one proposal per region will be considered by ECA from each applicant organization. In cases where more than one submission per region from an applicant appears in grants.gov, ECA will only consider the submission made closest in time to the NOFO deadline; that submission would constitute the one and only proposal ECA would review for the region from that applicant. Please see the full announcement for additional information.</t>
  </si>
  <si>
    <t>FY 2024   FY 2025 Pollution Prevention Grant Program Funded by the Bipartisan Infrastructure Law</t>
  </si>
  <si>
    <t>The Environmental Protection Agency (EPA) is announcing a two-year competitive funding opportunity for awards to eligible entities to provide technical assistance (TA) to businesses to encourage the development and implementation of source reduction practices also known as pollution prevention or â€œP2â€. EPA is requiring recipients to develop at least one P2 case study and one P2 success story during the grant period. A P2 case study should provide detailed technical information on one or two specific source reduction/P2 practices implemented by a business, and the benefits achieved, so that other P2 TA providers or interested businesses have enough technical information that they can learn from and replicate those P2 practices. A P2 case study should focus on P2 approaches that are new and not widely known or adopted and/or where the recipient believes detailed information on the project could support more widespread project replication.  This funding opportunity is announced under the authority of the Pollution Prevention Act and is funded by Infrastructure Investment and Jobs Act.</t>
  </si>
  <si>
    <t>FY 2024   FY 2025 Pollution Prevention Grant Program</t>
  </si>
  <si>
    <t>The Environmental Protection Agency (EPA) is announcing a two-year competitive funding opportunity for awards to eligible entities to provide technical assistance (TA)  to businesses to encourage the development and implementation of source reduction practices also known as pollution prevention or â€œP2â€.  EPA is requiring recipients to develop at least one P2 case study and one P2 success story during the grant period. A P2 case study should provide detailed technical information on one or two specific source reduction/P2 practices implemented by a business, and the benefits achieved, so that other P2 TA providers or interested businesses have enough technical information that they can learn from and replicate those P2 practices. A P2 case study should focus on P2 approaches that are new and not widely known or adopted and/or where the recipient believes detailed information on the project could support more widespread project replication.</t>
  </si>
  <si>
    <t>U.S. Embassy Tashkent Public Diplomacy Annual Program Statement</t>
  </si>
  <si>
    <t>Others (see text field entitled "Additional Information on Eligibility" for clarification) The following not-for-profit organizations are eligible to apply:_x000D_
o Not-for-profit Uzbekistani and U.S. organizations_x000D_
o Civil society/non-governmental organizations _x000D_
o Think tanks _x000D_
o Public and private not-for-profit educational institutions_x000D_
o Individuals_x000D_
_x000D_
For-profit entities, even those that may fall into the categories listed above, are not eligible to apply for this NOFO.  Organizations may sub-contract with other entities, but only one, non-profit, non-governmental entity can be the prime recipient of the award. When sub-contracting with other entities, the responsibilities of each entity must be clearly defined in the proposal.</t>
  </si>
  <si>
    <t>The U.S. Department of Stateâ€™s Embassy Tashkent Public Diplomacy Section (PDS) is pleased to announce the availability of funding through the Embassyâ€™s Public Diplomacy Small Grants Program. Based on funding availability, projects awarded under this program will support U.S. foreign policy goals in Uzbekistan in the areas of promoting sustainable economic growth, strengthening accountable governance and stability, and combating transitional threats. 
Purpose of Public Diplomacy Grants: The PDS invites proposals for programs that strengthen ties between the United States and Uzbekistan and support a priority program area (see below) in order to highlight shared values and promote bilateral cooperation. All proposed programs must include an American element, either through a connection with American expert/s, organization/s, or institution/s, usage of American educational/informational resources, or any other activities that promote or contribute to increased mutual understanding between the people of the United States and people of Uzbekistan. Competitive proposals will promote continued/sustainable cooperation between the people of the United States and Uzbekistan even after the project concludes.
PDS invites proposals for programs that support one of the following U.S. Embassy priority program areas:
1) Sustainable Economic Growth
2) Accountable Governance and Stability
3) Combating Transnational Threats</t>
  </si>
  <si>
    <t>FY 2024 BRAZIL SMALL GRANTS PROGRAM</t>
  </si>
  <si>
    <t>DOS-BRA</t>
  </si>
  <si>
    <t>U.S. Mission to Brazil</t>
  </si>
  <si>
    <t>Others (see text field entitled "Additional Information on Eligibility" for clarification) The United States Embassy and Consulates encourage applications from committed and organized civil society organizations, think tanks, non-governmental organizations, academic institutions, governmental institutions, international organizations. All applicants must be capable of receiving and managing grant funding._x000D_
_x000D_
In accordance with the OMB guidelines at 2 CFR 180 that implement Executive Orders 12549 (3 CFR 1986 Comp., p. 189) and 12689 (3 CFR1989 Comp., p. 235),  Debarment and Suspension,  no entity listed on the Excluded Parties List System in the System for Award Management (SAM) is eligible for any assistance or can participate in any activities under an award._x000D_
.</t>
  </si>
  <si>
    <t xml:space="preserve">Purpose of PAS Public Diplomacy Grants: The Public Affairs Sections of the U.S. Embassy and Consulates in Brazil invites proposals for programs that strengthen ties between the United States and Brazil through cultural, arts, educational, media, information, and exchange programming that highlights shared values and promotes bilateral cooperation. The bilateral nature of proposals is especially important during calendar year 2024, the 200th anniversary of the establishment of diplomatic relations between Brazil and the United States. All programs must include an American cultural element, or connection with American expert(s), organization(s), or institutions in a specific field that will promote increased understanding of U.S. policies, values, and perspectives as well as incorporate a cross-cutting approach to diversity, equity, inclusion, and accessibility (DEIA).
Examples of PAS public diplomacy grants include, but are not limited to:
Â· Academic and professional lectures, seminars, and speaker programs that include U.S. speakers;
Â· Artistic and cultural workshops, joint performances, and exhibitions;
Â· Cultural heritage conservation and preservation programs;
Â· Programs that strengthen U.S. college and university relationships with local higher education institutions, businesses, and/or regional organizations;
Â· Media trainings
PAS encourages applications from eligible civil society organizations, community representatives, think tanks, non-governmental organizations, academic institutions, government institutions, and international organizations. Please keep in mind that while an applicant may submit multiple proposals, each proposal must address only one of the initiative areas listed in the NOFO.
</t>
  </si>
  <si>
    <t>Nathan Shock Centers of Excellence in Basic Biology of Aging (P30 Clinical Trial Not Allowed)</t>
  </si>
  <si>
    <t>Special district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
Non-domestic (non-U.S.) components of U.S. Organizations are not eligible to apply.
Foreign components, as defined in the NIH Grants Policy Statement, are not allowed.</t>
  </si>
  <si>
    <t>This NOFO invites applications for the Nathan Shock Centers of Excellence in Basic Biology of Aging (NSC). These Center grants will provide funding for leadership, training, research, and outreach activities that will increase and disseminate scientific knowledge in areas supported by the NIA's Division of Aging Biology.</t>
  </si>
  <si>
    <t>Nathan Shock Centers Coordinating Center (U24 Clinical Trial Not Allowed)</t>
  </si>
  <si>
    <t>Private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not allowed.</t>
  </si>
  <si>
    <t>This Notice of Funding Opportunity Announcement (NOFO) invites applications to develop and maintain a (NSC3). The goal of the NSC3 is to provide logistical and organization support of the NSC. Applicants should be familiar with Nathan Shock Centers (NSC) activities, but they do not need to be part of an NSC. Major activities of the proposed NSC3 will include improving visibility of the NSC nationally and internationally, improving collaboration and coordination among NSC, enhancing NSC training activities, facilitating the sharing of resources, and interacting with NIA and NSC to develop strategies and plans for further development. The successful application will include a plan to improve transparency and the interactions of NSC with the research community. It should also leverage existing bioinformatics resources. The NSC3 director will be a participant in the NIA's Research Centers Collaborative Network.</t>
  </si>
  <si>
    <t>ROSES 2024: A.7 Biodiversity and Ecological Conservation</t>
  </si>
  <si>
    <t xml:space="preserve">Please note that this program requests optional Notices of Intent, which are due via NSPIRES by May 13,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</si>
  <si>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Crisis Response Planning and Preparedness in Nigeria</t>
  </si>
  <si>
    <t>Others (see text field entitled "Additional Information on Eligibility" for clarification)  	Not-for-profit organizations, including think tanks and civil society/non-governmental organizations 
 	Public and private educational institutions 
 	Public International Organizations (PIOs) and Governmental institutions</t>
  </si>
  <si>
    <t>The Bureau of Counterterrorism (CT) of the U.S. Department of State announces an open competition for organizations to submit applications to support the Nigerian interagency in designing, revising, and implementing crisis response plans and protocols.</t>
  </si>
  <si>
    <t>Economic Empowerment in Dakhla and Laayoune Regions</t>
  </si>
  <si>
    <t>Others (see text field entitled "Additional Information on Eligibility" for clarification) Eligible applicants include U.S. or foreign:
Non-profit organizations;  For-profit organizations; Private institutions of higher education; Public international organizations; and/or Small businesses with function and regional experience in the areas of education and human development in the MENA region.</t>
  </si>
  <si>
    <t>An undiversified economy and inequitable participation in the labor force are two economic challenges facing the Dakhla and Laayoune regions.  Largely dependent on agriculture, fisheries, renewable energy, tourism, and phosphate mining for income, the region is susceptible to a disconnect between citizens and the government when the primary source of revenue is from a natural resource rather than the citizens themselves. â€¯Overreliance on those industries also limits private sector growth and contributes to a low rate of womenâ€™s participation in the labor market. 
Competitive proposals will support activities targeting underserved communities, to include women, youth, and People with Disabilities (PWD). The beneficiaries should receive some combination of soft- and job-skills along with entrepreneurship training. â€¯Proposals which have an innovative approach and/or have concrete outcomes such as jobs obtained, or businesses created will be looked on favorably. â€¯Proposals can reference relevant prior experience. 
â€¯ 
This project will support civil society in the Dakhla and Laayoune regions by developing the professional skills of the participants. â€¯Incremental progress in these areas is made possible through an informed and empowered population. â€¯The project will also help create the economic conditions that, in turn, allow associations and businesses to organize and approach local officials on questions and issues important to them, whether resource allocation or gender equity.</t>
  </si>
  <si>
    <t>Enhancing Reviews and Surveillance to Eliminate Maternal Mortality</t>
  </si>
  <si>
    <t>Public housing authorities/Indian housing authorities CDC will consider any applications non-responsive, and it will not receive further review, if the following documents are not submitted as specified in the collaboration section of this NOFO. CDC will fund the recognized authority to implement a MMRC in each State, US territory or Freely Associated State, or the District of Columbia. The recognized entity must provide the following documents in order to provide evidence of eligibility. Additional information is further described under Collaborations.</t>
  </si>
  <si>
    <t>Purpose The Centers for Disease Control and Prevention (CDC) announces the availability of funds to support agencies and organizations that coordinate and manage Maternal Mortality Review Committees to identify and characterize pregnancy-related deaths for preventability, abstract clinical/non-clinical data into a standard data system, conduct informant interviews to inform individual case review, and enter information into a standard data system within 2 years of death. This NOFO aims to improve the overall timeliness and availability of information on strategies for prevention of pregnancy-related deaths and reduction of disparities in pregnancy-related mortality nationally.</t>
  </si>
  <si>
    <t>Guardrail Safety Training</t>
  </si>
  <si>
    <t>Unrestricted (i.e., open to any type of entity above), subject to any clarification in text field entitled "Additional Information on Eligibility" This notice is open to all sources.</t>
  </si>
  <si>
    <t>The purpose of this NOFO is to solicit applications for Guardrail Safety Training program that will result in the award of one (1) cooperative agreement award and the distribution of up to $500,000.00 in Federal funding over the life of the project. The actual amount available to be awarded under this notice will be subject to the availability of funds. PROGRAM GOALS The goal of Guardrail Safety Training is three-fold:1. To provide technical assistance;2. To develop support materials for training activities; and3. To develop and conduct webinar trainings for roadway agency standards engineers/sections.Through the development of the products outlined in this cooperative agreement the desired outcome is improved guardrail design and installation.ADMINISTRATION GOALSThe FHWA seeks to under this NOFO that advance the United States Department of Transportationâ€™s National Roadway Safety Strategy (NRSS). The NRSS outlines the Departmentâ€™s comprehensive approach to significantly reducing serious injuries and deaths on our Nationâ€™s highways, roads, and streets. This is the first step in working toward an ambitious long-term goal of reaching zero roadway fatalities.</t>
  </si>
  <si>
    <t>USGS Earthquake Hazards Program External Research Support Announcement for Fiscal Year 2025</t>
  </si>
  <si>
    <t>Others (see text field entitled "Additional Information on Eligibility" for clarification) This Announcement is open to all individuals and entities EXCEPT for the ineligible categories listed below.The following proposals are NOT eligible for consideration under this Announcement:Proposals for regional seismic monitoring or establishing Data Centers.Proposals for long-term operation of geodetic networks or instruments.Proposals from U.S. Government agencies or U.S. Government employees.Proposals from Federally Funded Research and Development Centers (FFRDC).Proposals in which there is a real or apparent conflict of interest.Proposals principally involving the direct procurement of a product, equipment, or service.Proposals having subcontracts for 50 percent or greater of total direct costs.Notwithstanding the provisions of the Federal Grant and Cooperative Agreement Act of 1977 (31 U.S.C. 6301 6308), the United States Geological Survey is authorized to continue existing, and on and after November 10, 2003, to enter into new cooperative agreements directed towards a particular cooperator, in support of joint research and data collection activities with Federal, State, and academic partners funded by appropriations herein, including those that provide for space in cooperator facilities.</t>
  </si>
  <si>
    <t>The USGS Earthquake Hazards Program (EHP) issues this annual Announcement for assistance to support research in earthquake hazards, the physics of earthquakes, earthquake occurrence, and earthquake safety policy and address the Department of Interiorâ€™s Secretarial priorities. This activity is authorized by the Earthquake Hazards Reduction Act of 1977 (Public Law 95-124, 42 U.S.C. 7701 et. seq.), and as amended by the National Earthquake Hazards Reduction Program Reauthorization Act of 2018 (Public Law 115-307).</t>
  </si>
  <si>
    <t>Cultural Resources Management Services</t>
  </si>
  <si>
    <t>The National Park Service, following its Management Policies (2006) seeks to work with partners to collaboratively conduct a variety of activities, including, but not limited to the named studies outlined in NPS-28: Cultural Resource Management Guideline:â— Archeological Identification/Evaluation Studiesâ— Archival Records Management Plansâ— Bibliographic and historiographic essaysâ— Collection Management Plan (CMP)â— Cultural Affiliation Study and Lineal Descent Studiesâ— Cultural Landscapes Inventory (CLI)â— Cultural Resources Geographical Information System (CRGIS) Studies.â— Cultural Resources Management Bibliography (CRBIB)â— Development Concept Planâ— Discover our Shared Heritage Travel Itinerariesâ— Ethnohistory and Ethnographyâ— Exhibit Plan and Design (EPD)â— General Management Plan (GMP)â— HABS/HAER/HALS documentation,â— Historic Resource Study (HRS)â— Historic structure report (HSR)â— List of Classified Structures (LCS)â— National Catalog of Museum Objectsâ— National Heritage Area Plans and Evaluationsâ— National Historic Landmark Documentation and Theme Studiesâ— National Underground Railroad Network to Freedom studiesâ— National Register of Historic Places Documentation and Bulletinsâ— National Maritime Initiative Inventoryâ— Oral History interviews, transcription and archival processingâ— Park and Program Administrative Historyâ— Peer Reviewâ— Teaching with Historic Places Lesson Plans</t>
  </si>
  <si>
    <t>USAID Espoir 2030 Haut-Katanga</t>
  </si>
  <si>
    <t>Others (see text field entitled "Additional Information on Eligibility" for clarification) Eligibility for this award is restricted to local entities as defined in Automated Directives System (ADS) 303.6.</t>
  </si>
  <si>
    <t>The United States Agency for International Development in Democratic Republic of Congo (USAID/DRC) is seeking applications for a Fixed Amount Award (FAA) Cooperative Agreement from qualified entities to implement the USAID Espoir 2030 in Haut Katanga. Eligibility for this award is restricted to local non-governmental entities as defined in ADS 303.6.USAID intends to make an award to the applicant who best meets the objectives of this funding opportunity based on the merit review criteria described in this NOFO subject to a risk assessment. Eligible parties interested in submitting an application are encouraged to read this NOFO thoroughly to understand the type of program sought, application submission requirements and selection process. USAID/DRC envisions that the USAID Espoir 2030 Haut-Katanga award will be five-year long activities that will focus on service delivery in three (3) zones outside Lubumbashi. The activity will collaborate with existing (EpiC, IHP, Chemonics Francophone Task Order) and other USAID and development partners implementing HIV programming. The number of health zones supported in the province can change depending on PEPFAR and the GDRC orientations. The service delivery model intends that each activity in a specific province will include all aspects of HIV epidemic control, Orphans and Vulnerable Children (OVC) and key populations (KPs) programming, to ensure smooth transition of the existing key populations program (EpiC). More details are available from full Notice of Funding Opportunity (NOFO) as posted with this synopsis.The French Version of this funding opportunity will be added to the package by March 26, 2024</t>
  </si>
  <si>
    <t>2024 Child Protection Compact (CPC) Partnership Programming in Nepal</t>
  </si>
  <si>
    <t>DOS-GTIP</t>
  </si>
  <si>
    <t>Office to Monitor-Combat Trafficking in Persons</t>
  </si>
  <si>
    <t>Others (see text field entitled "Additional Information on Eligibility" for clarification) The TIP Office encourages applications from the following entities:   U.S.-based and Foreign-based Non-Profit   For-Profit Organization   Institution of Higher Education   Non-Governmental Organization (NGO)   Public International Organization (PIO). Applications submitted by for-profit entities may be subject to additional review following the panel selection process. Additionally, the Department of State prohibits profit to for-profit or commercial organizations under its assistance awards. While foreign governments are not eligible to apply, governments may be beneficiaries of programs if funding does not pay salaries of government agency personnel and that such assistance is not restricted by U.S. law or policy. Please refer to the NOFO for full eligibility information.</t>
  </si>
  <si>
    <t>The TIP Office announces an open competition for projects to combat child trafficking in Nepal under a new Child Protection Compact Partnership.</t>
  </si>
  <si>
    <t>Development and Maintenance of the Animal Food Regulatory Program Standards (U19) Clinical Trial Not Allowed</t>
  </si>
  <si>
    <t>State governments This opportunity is only available to the following State animal food safety programs:_x000D_
_x000D_
Animal food regulatory programs with current FDA animal food safety inspection contracts (providing funding to State agency animal food production regulatory programs), or those that meet the eligibility requirements and apply for and agree to enter into an animal food safety inspection contract with FDA at the earliest possible date, are eligible to apply for funding under this cooperative agreement.  Competition is limited to State animal food regulatory programs because the foundational work conducted under the current FDA animal food safety inspection contracts is necessary for the completion of significant improvements in a nationally integrated food safety system._x000D_
_x000D_
Applicants will be categorized under one of two funding tracks:  AFRPS Development or AFRPS Maintenance (see eligibility criteria below). _x000D_
_x000D_
The applicant must hold a nonpublic information sharing agreement with FDA pursuant to 20 CFR  20.88 ( 20.88 agreement ) or agree to enter into a 20.88 agreement with FDA by the end of grant year one (June 30, 2025).</t>
  </si>
  <si>
    <t xml:space="preserve">The intended outcome of this Notice of Funding Opportunity (NOFO) is to advance efforts for a nationally integrated animal food safety system by assisting State animal food regulatory programs to achieve and maintain full implementation of the Animal Food Regulatory Program Standards (AFRPS). </t>
  </si>
  <si>
    <t>Indo-Pacific Think Tank Conference</t>
  </si>
  <si>
    <t>Others (see text field entitled "Additional Information on Eligibility" for clarification)   Not-for-profit organizations  Civil society/non-governmental organizations   Think tanks   Public and private educational institutions  Individuals  Public International Organizations and Governmental institutions</t>
  </si>
  <si>
    <t>The Embassy of the United States of America in New Delhi announces an open competition to implement a project to increase Indian engagement as a regional leader with like-minded partners across the Indo-Pacific. This will be accomplished via a three -day residency in India for 15 established opinion leaders (EOLs) from the think tank space in the United States, Japan, Australia, South Asia, and Southeast Asia along with 15 counterparts from India. Please follow all instructions below.By March 2025, 15 EOL think tankers from participating countries will demonstrate a recognized attitude shift and perspective/behavior change toward the United States, make data-informed decisions as evidenced by writing at least 15 joint research papers/articles on regional cooperation and best practices in the Indo-Pacific under varied Indo-Pacific Strategy Pillars. The selected grantee will endeavor to have these papers/articles published in global journals and media including those published in participating countries to better inform stakeholders and impact policymaking focused on tackling defined challenges in the Indo-Pacific region.(Please refer to the full announcement available under 'related documents' tab)</t>
  </si>
  <si>
    <t>University Partnerships in Turkmenistan</t>
  </si>
  <si>
    <t>Others (see text field entitled "Additional Information on Eligibility" for clarification) The following U.S.-based organizations are eligible to apply:_x000D_
_x000D_
 	Not-for-profit organizations_x000D_
 	Civil society/non-governmental organizations _x000D_
 	Public and private educational institutions_x000D_
_x000D_
For-profit entities, even those that may fall into the categories listed above, are not eligible to apply for this NOFO.  Organizations may sub-contract with other entities, but only one, non-profit, non-governmental entity can be the prime recipient of the award. When sub-contracting with other entities, the responsibilities of each entity must be clearly defined in the proposal.</t>
  </si>
  <si>
    <t>Executive Summary: 
The U.S. Department of Stateâ€™s Embassy Ashgabat announces an open competition to implement a program  focused on building the capacity of higher educational institutions in Turkmenistan to carry out short- and long-term bilateral exchanges, offer dual-degree programs, conduct and commercialize research, obtain international accreditation, and other activities directed at supporting ongoing educational reform in Turkmenistan. The ultimate goal of the projects is to enable Turkmenistan to become an active member of the global education community, and a viable partner in international exchanges, with an eventual opening of a U.S. branch university in Turkmenistan. The initial timeline for these activities is one year, with the possibility of extension. Please follow all instructions below.
Background: 
Turkmenistan is a post-Soviet state of roughly 5 million people (official statistic) that gained its independence in 1991. The Ministry of Education oversees all educational institutions from kindergarten to university. Turkmenistan has implemented several educational reforms within the last 10-15 years, mostly introducing new subjects to schools and universities (such as those from the STEM field), increasing the use of technology in teaching (such as smartboards and laptops) and adapting textbooks and materials to make them fit better within Turkmenistanâ€™s context. However, the centralized structure of the education system has not changed significantly, with universities continuing to offer highly structured five-year specialist degrees that fall somewhere between bachelorâ€™s and masterâ€™s degrees on the western scale. 
Under the current system, students play a limited role in crafting their own educational process and/or degree. When students matriculate to university, they do so by declaring their chosen specialization. In fact, they donâ€™t apply to the university as a whole; they apply to a specific department. Once accepted, they have no option to drop classes or switch majors. Students also do not choose which classes to take â€“ a specific major has a set list of classes. These rules severely limit studentsâ€™ academic opportunities and affect future professional opportunities. In the last few years, the Ministry of Education has stated its intention modernize Turkmenistanâ€™s education system, which include several stated priorities:
a) Launching a dual degree program together with a U.S. university (bachelorâ€™s or masterâ€™s); 
b) Obtaining international accreditation; 
c) Establishing a branch of a U.S. university in its capital, Ashgabat;
d) Gradually moving all universities to the Western, credit-based system.
Turkmenistanâ€™s government is very eager to begin work on these goals and is interested in assistance from U.S. universities in providing expertise and guidance on conducting these large-scale overhauls. The Public Diplomacy Section has worked closely with the Ministry of Education to develop a road map to bring Turkmenistanâ€™s education system closer to the U.S. model, as well as signed a memorandum of understanding (MOU) with the Government of Turkmenistan on cooperation in the education sector. The MOU and the road map lay out concrete steps, including inviting U.S. experts on internationalization and education reform, and are some of the first actions that Embassy has taken, together with the Ministry of Education, to help Turkmenistan reach its stated goals. 
Through the projects described in this NOFO, the Embassy would like to develop a realistic road map to overhaul the education system, bringing it closer to Western standards and accreditation, and eventual establishment of a U.S. university branch campus in the capital city of Ashgabat. The initial project duration is one year, but will most likely be extended, as the envisioned task is multi-pronged and will likely require more than 12 months. 
Project Audience(s): 
Turkmenistanâ€™s higher education institutions (HEIs), including universities and institutes, as well as the Ministry of Education of Turkmenistan
 Project Goal: Improve access to quality higher education opportunities in Turkmenistan through adoption of best practices by Turkmen higher education institutions Project 
Objectives: 
Â· Objective 1: Increase understanding of internationalization requirements for universities, the U.S. education system, and best practices among Ministry of Education officials and higher education representatives through training, workshops, and/or short-term exchanges to the United States. 
o Topics may include: how to establish dual degree and joint degree programs, accreditation requirements, opening branch campuses, etc. 
Â· Objective 2: Conduct a general analysis of Turkmenistanâ€™s education system and create a road map that provides clear recommendations to the Ministry of Education on the practical steps needed to advance educational reforms. 
Â· Objective 3: Establish a working group of Turkmen Ministry of Education officials and higher education representatives to facilitate collaboration and implementation of recommendations aimed at modernizing and internationalizing the higher education system in Turkmenistan.</t>
  </si>
  <si>
    <t>Botanical Dietary Supplements Translational Research Teams (RM1 Clinical Trial Required)</t>
  </si>
  <si>
    <t>City or township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</si>
  <si>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The purpose of this Notice of Funding Opportunity (NOFO) is to support collaborative, transdisciplinary, translational research projects which advance exceptionally promising, chemically complex botanical and other natural products relevant to dietary supplements towards highly informative clinical trials of their effects on quantitative, objective measures of human resilience. Dynamic, synergistic interactions among the range of experts required to ensure rigor in all aspects of this research will be supported by a multi-PD/PI team collaborating on a single set of integrated specific aims, culminating in data on optimal parameters for a future proposed clinical efficacy trial, as well as the development and validation of other critical knowledge and methods for interpretation of such a trial, such as clinical assessment of the engagement of an outcome-relevant target. Enhancing workforce and institutional capacity to conduct future rigorous, transdisciplinary research on chemically complex natural products must be built into the plans for research and for enhancing diverse perspectives. Achievement of the RM1 specific aims is expected to provide a strong foundation for a future highly informative clinical efficacy trial of the effects on resilience of a chemically complex natural product.This NOFO is one component of the Consortium Advancing Research on Botanicals and Other Natural Products (CARBON) Program. Other components of this Program include RFA-AT-24-008, Leveraging Data at Scale to Understand Natural Product Impacts on Whole Person Health (R01) and RFA-AT-24-007, Limited Competition: Research Resource for Natural Product Nuclear Magnetic Resonance Data (R24).</t>
  </si>
  <si>
    <t>Use of Digital Health Technologies in Clinical Investigations to Support Drug and Biological Product Development (U01) Clinical Trials Optional</t>
  </si>
  <si>
    <t>Small businesses Foreign OrganizationsNon-domestic (non-U.S.) Entities (Foreign Organizations) are eligible to apply.Non-domestic (non-U.S.) components of U.S. Organizations are eligible to apply.Foreign components, as defined in the HHS Grants Policy Statement, are allowed.</t>
  </si>
  <si>
    <t xml:space="preserve">The purpose of this Funding Opportunity Announcement (FOA) is to address topics related to the use of digital health technologies (DHTs) for remote data acquisition in clinical investigations to support drug development. </t>
  </si>
  <si>
    <t>Limited Competition: Research Resource for Natural Product Nuclear Magnetic Resonance Data (R24 Clinical Trial Not Allowed)</t>
  </si>
  <si>
    <t>County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</si>
  <si>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National Center for Complementary and Integrative Health (NCCIH) with the Office of Dietary Supplements (ODS) solicit limited applications for continuation of an established nuclear magnetic resonance (NMR) research resource consisting of raw and meta-data from natural products ranging from crude extracts to purified substances; with the capacity to upload, download, store, search and analyze raw NMR data. The purpose of this limited competition is to promote sustainability, scaling and wider community inclusiveness of the established NMR research resource. This notice of funding opportunity (NOFO) is part of the Consortium Advancing Research on Botanicals and Other Natural Products (CARBON) Program. Other components of this Program include the Botanical Dietary Supplements Translational Research Teams (RM1) and Leveraging Big Data to Understand Natural Product Impacts on Whole Person Health (R01).</t>
  </si>
  <si>
    <t>Public Diplomacy Small Grants - EDUCATION</t>
  </si>
  <si>
    <t>DOS-UKR</t>
  </si>
  <si>
    <t>U.S. Mission to Ukraine</t>
  </si>
  <si>
    <t>Others (see text field entitled "Additional Information on Eligibility" for clarification) The following organizations only are eligible to apply:  _x000D_
Ukrainian not-for-profit organizations, including think tanks and civil society/non-governmental organizations (NGOs); their collaboration with the U.S. counterparts is welcome.</t>
  </si>
  <si>
    <t xml:space="preserve">The U.S. Embassy Kyiv announces an open competition for non-government, non-profit organizations to submit applications to carry out a Public Diplomacy Small Grants (PDSG) Program â€“ EDUCATION. This Program is subject to availability of funding from the U.S. Government. 
Program Objectives: 
The U.S. Embassy Kyiv announces the 2024 Public Diplomacy Small Grants Program - EDUCATION to support projects aimed at strengthening Ukraineâ€™s educational system as a contributor to Ukraineâ€™s post-war restoration and development. The U.S. Embassy plans to award small grants to Ukrainian non-governmental, not-for-profit organizations (NGOs) to administer the projects in collaboration with counterparts in education (colleges, universities, local and central governments). Collaboration or partnerships between the United States and Ukrainian organizations is encouraged and may include but is not limited to implementation of U.S. concepts and using U.S. experts. Preference will be given to proposals that provide clear and sustainable results and strengthen US-Ukraine people to people ties or have clear potential for lasting engagement between US and Ukrainian institutions. All proposal must include a monitoring and evaluation plan with clearly defined indicators to measure the realization of project goals. 
Specific thematic priorities for the projects may include one or more of the following: 
1. Collaboration between educational institutions, employers and government entities to produce qualified workforce in sufficient numbers for the fields identified as priorities in economic recovery and development plan. This priority addresses the need to connect the current educational system to the specific demands of Ukraineâ€™s labor market, drawing, where practical, from US examples and leveraging U.S. experience and institutions to support Ukraineâ€™s modernization of education. The projects should help youth stay and succeed in Ukraine, and equip representatives of business with modern business tools, concepts, and principles to build enduring professional relationships between Americans and Ukrainians, develop businesses in Ukraine and attract foreign investment. The projects may include, but are not limited to collaborative research, design of regional development plans with regard to the regional job market needs and educational offers, design of dual education programs, development of new study programs/ study plans, adjusted to employersâ€™ present and future needs. 
2. Development of training opportunities and programs for individuals with disabilities, veterans and IDPs to increase their employability and support regional economic recovery and growth. This priority anticipates leveraging U.S. experience and institutions to support Ukraineâ€™s modernization and expansion of its education system to integrate a growing population of veterans considering disabilities and PTSD challenges, students with special learning needs, displaced and vulnerable populations. Proposals should support Ukraineâ€™s efforts to rebuild the current and post-war economy including re-integration of mentioned target groups into the labor market. The projects may include but are not limited to the piloting of centers for veteranâ€™s services and centers for disabilities services at Ukrainian colleges and universities focusing on entrepreneurship, career advising, vocational re-training, small business development, and soft skills development. 
3. Support of optimization as part of educational reform in response to war and post-war reconstruction challenges. 
 The projects should consider the optimization of Ukrainian educational system which has been started by the Ministry of Education and Science of Ukraine as a response to the war-generated challenges. Where possible, Ukraineâ€™s Euro-Atlantic aspirations, particularly, in education, should be considered with regard to areas where U.S. expertise provides unique experiences for educational advancement and modernization. The projects may include, but are not limited to, development of strategies; enhancement of teaching in priority fields identified by the Government of Ukraine; ensuring access to high quality education for students in war-affected areas or studying on-line from abroad. 
4. Development of civic education programs for Ukrainian students and adults to facilitate social cohesion and reintegration of citizens from occupied territories, IDPs, with a possible connection to Ukrainians sheltered abroad. The projects may include but are not limited to educational projects in Ukrainian history, culture, and citizenship for target audiences. 
Participants and Audiences: 
All project activities supported by the U.S. Embassy grant should take place in Ukraine. 
The key participants are Ukrainian stakeholders in education who have power to shape educational sector so that it pragmatically addresses the challenges of the post-war recovery period. 
The target audience (beneficiaries) for the projects include social groups that suffered in the war the most (veterans, individuals with disabilities, IDPs), and decision-makers in crisis circumstances. 
B. FEDERAL AWARD INFORMATION 
Length of performance period: six to twelve months  
Award amounts: awards may range from a minimum of 25000 to a maximum of 50 000 USD 
Total available funding: pending funds availability 
Type of Funding: FY24 Smith-Mundt Public Diplomacy Funds  
Anticipated program start date: between July 1 and September 30, 2024 
This notice is subject to availability of funding. 
Funding Instrument Type: Grant   
C. ELIGILIBITY INFORMATION 
1. Eligible Applicants 
The following organizations only are eligible to apply:  
Ukrainian not-for-profit organizations, including think tanks and civil society/non-governmental organizations (NGOs); their collaboration with the U.S. counterparts is welcome. 
2. Cost Sharing or Matching 
Cost sharing or matching is encouraged but not required.  
3. Other Eligibility Requirements 
In order to be eligible to receive an award, all organizations must have a Unique Entity Identifier (UEI) number issued via www.SAM.gov as well as a valid registration on www.SAM.gov. Please see Section D.3 for more information. Individuals are not required to have a UEI or be registered in SAM.gov. 
Applicants are only allowed to submit one proposal per organization. If more than one proposal is submitted from an organization, all proposals from that institution will be considered ineligible for funding. 
D. APPLICATION AND SUBMISSION INFORMATION - see attached full NOFO for all details. 
</t>
  </si>
  <si>
    <t>Partnerships to Enhance Immunization Information Systems (IIS)</t>
  </si>
  <si>
    <t>Nonprofits that do not have a 501(c)(3) status with the IRS, other than institutions of higher education Eligibility is limited to the entities identified in the statutory authority and the additional criteria below. Technical Assistance Agreements or ChartersApplicants must include in the appendix a minimum of 6 examples of technical assistance agreements or charters in support of immunization management activities established with jurisdictions and title the documents  Technical Assistance Agreements or Charters .   Applicants that fail to include sample charters or agreements established with jurisdictions focused on technical assistance will be considered non-responsive. Evaluation and Performance Plan:Applicants must include in their application the initial evaluation and performance measurement plan that is clearly labeled  Evaluation and Performance Plan  in the required section of the application.  Applicants requesting funding without this information clearly labeled will be considered non-responsive.  Organizational Chart and CVsApplicants must include an organizational chart and Curriculum Vitas for organizational leadership and staff supporting the components, strategies and activities that is clearly labeled as  Organizational Chart and CVs  in an appendix section that is easily accessible.  Applicants requesting funding without including a document titled  Organizational Chart and CVs  in the appendix of the application that is clearly labeled will be considered non-responsive.</t>
  </si>
  <si>
    <t>CDC anticipates an Approximate Total Fiscal Year Funding amount of $3,900,000 for Year 1 for 2 awards, subject to the availability of funds. This NOFO will support organizations that engage state, tribal, local, and territorial immunization programs funded through CDC's Immunization and Vaccines for Children program to advance systems supporting program delivery, improve data quality, and improve vaccination coverage.  The intent of this NOFO is to achieve impactful and sustainable outcomes that require implementation of strategies to:Advance technology and standards for immunization Engage and support the immunization community in efforts to assess and monitor vaccine coverage, identify populations at risk, and respond to vaccine-preventable disease outbreaksImprove immunization data collection and useEducate and develop the public health immunization workforcePotential projects include those that support the strategies listed above such as: Consistent implementation of immunization information system (IIS) standardsSupporting jurisdictions' ability to leverage the CDC Immunization Gateway to facilitate data exchange and improve interoperabilityImplement communication and engagement with the public health immunization community through regular communications, supporting user groups, and providing technical assistanceSupport IIS leadership development through competency development, standard role descriptions, competency based training, etc.</t>
  </si>
  <si>
    <t>FY 2024 Arctic Indigenous Exchange Program</t>
  </si>
  <si>
    <t>Private institutions of higher education Please see full announcement.</t>
  </si>
  <si>
    <t>The Global Leaders Division in the Office of Citizen Exchanges at the U.S. Department of Stateâ€™s Bureau of Educational and Cultural Affairs (ECA) invites proposal submissions to design, administer, and implement the FY 2024 Arctic Indigenous Exchange Program (AIEP). This new initiative will bring together approximately 50 Indigenous leaders, including business development professionals, government officials, and entrepreneurs from Canada, the Kingdom of Denmark (Greenland), and the United States (Alaska), for a multi-phase exchange program to explore areas of regional cooperation across the Arctic. The goal of this program is to strengthen people-to-people relationships, advance cooperation, and foster greater commercial and cultural ties between Arctic Indigenous populations in the United States, Canada, and Greenland across a range of priority areas. U.S. public and private non-profit organizations meeting the provisions described in Internal Revenue Code section 26 USC 501(c)(3) may submit proposals to provide a series of exchange projects ranging in size and scope, focused on critical topics to Arctic Indigenous communities in Greenland, Canada, and the United States (specifically Alaska), including sustainable economic development, climate and the environment, and health and well-being. It is anticipated that this cooperative agreement will support approximately three to six distinct exchange projects for approximately 50 participants, including approximately 35 foreign and 15 U.S. participants. Exchange activities may include, but are not limited to, regional workshops, summits, and alumni activities, as appropriate in any of the three participating countries. For additional details please see the full announcement.</t>
  </si>
  <si>
    <t>FY 2024 Global Undergraduate Exchange Program</t>
  </si>
  <si>
    <t>The Office of Academic Exchange Programs of the Bureau of Educational and Cultural Affairs announces an open competition for the administration of the FY 2024 Global Undergraduate Exchange Program (Global UGRAD). The total amount of funding for this award will be up to $6,770,000, pending the availability of FY 2024 funds. U.S. public and private non-profit organizations meeting the provisions described in IRS regulation 26 CFR 1.501(c) (3) may submit proposals to cooperate with the Bureau in the administration and implementation of the Global UGRAD Program. Organizations with less than four years of experience in conducting international exchange programs are not eligible for this competition. See the NOFO, Section C.3. Other Eligibility Requirements for further information.The Global UGRAD Program selects outstanding underserved students from East Asia and the Pacific, Europe and Eurasia, the Near East, South and Central Asia, Sub-Saharan Africa, and the Western Hemisphere to receive scholarships for one semester of non-degree study at U.S. institutions of higher education. Some students may also participate in one additional semester of pre-academic English language training. Funding should support approximately 245 participants, pending the availability of FY 2024 funds. Every effort should be made to maximize the number of scholarships awarded. Proposals should demonstrate flexibility and creativity in program planning and administration. Please see the full announcement for additional information.</t>
  </si>
  <si>
    <t>FY2024 ABPP - Battlefield Interpretation Grant</t>
  </si>
  <si>
    <t>Historic battlefields and sites of armed conflict are powerful reminders of the shared heritage of all Americans. As an ongoing effort to engage all Americans in the preservation of cultural resources beyond our park boundaries, the National Park Service American Battlefield Protection Program (NPS ABPP) promotes the preservation and interpretation of these important places. NPS ABPP awards financial assistance to support community-driven stewardship of battlefields and sites of armed conflict through four grant opportunities  Preservation Planning, Battlefield Restoration, Battlefield Interpretation, and Battlefield Land Acquisition.NPS ABPP administers Battlefield Interpretation Grants to provide assistance for projects that deploy technology to modernize and enhance battlefield interpretation and education at Revolutionary War, War of 1812, and Civil War battlefield sites eligible for assistance under the Battlefield Acquisition Grant Program established under 54 U.S.C. Â§308103(b). These grants are funded from the Land and Water Conservation Fund, which invests earnings from offshore oil and gas leasing to help strengthen communities, preserve history and protect the national endowment of lands and waters. Funding will support scoping and implementation activities for historic preservation projects at eligible sites and will be awarded competitively. Grants require a dollar-for-dollar non-Federal match. State, local, and tribal governments, as well as nonprofit organizations are eligible to apply.Successful applicants typically provide straightforward answers to the Merit Review Criteria, backed by clear and concise supporting documentation, including but not limited to GIS maps, resumes/CVs, charts, graphs, spreadsheets, summary tables, and other relevant information. These applicants also tend to have a plan for making contact, or have already established contact, with landowners or organizations with an economic or legal interest in the proposed project sites. NPS ABPP encourages all applicants to consider forming inclusive preservation partnerships with these landowners/organizations as well as descendant communities, Native American Tribes, state and/or tribal historic preservation offices, and other nonprofit organizations that may help guide, or want to actively participate in, the proposed project.Two categories of grants are available for battlefield interpretation projects in different stages: Scoping Grants: These are available to fund the early stages of project development, such as research and content creation, consultation with stakeholders, exploration of available technologies, audience research, and development of technical proposals. The federal share for these grants should range from $20,000-$50,000 and have a period of performance of 1-2 years.Implementation Grants: These are available to applicants who have completed interdisciplinary scoping prior to the application and can provide draft content and design plans. The federal share for these grants should range from $50,000-$200,000 and have a period of performance of 2-3 years.</t>
  </si>
  <si>
    <t>Exploring Proteogenomic Approaches to Unravel the Mechanisms of Mis-Folded Protein Accumulation in Tauopathies (R01 Clinical Trial Not Allowed)</t>
  </si>
  <si>
    <t>Nonprofits that do not have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</si>
  <si>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This funding opportunity invites innovative research proposals to explore the accumulation of misprocessed proteins in Tauopathies within specific brain regions and cell types. We encourage collaborative efforts to create advanced single-cell or single-cell type proteogenomic platforms. These platforms aim to shed light on dynamic changes in protein-misfolding responses in neuronal proteomes and their potential biological consequences during aging and the development of AD and ADRD.</t>
  </si>
  <si>
    <t>FY2024 U.S. Embassy Tokyo: Mission Japan Media Study Tour for Japanese Journalists on Trilateral Security Cooperation</t>
  </si>
  <si>
    <t>DOS-JPN</t>
  </si>
  <si>
    <t>U.S. Mission to Japan</t>
  </si>
  <si>
    <t>Nonprofits that do not have a 501(c)(3) status with the IRS, other than institutions of higher education Public International Organizations and Government Institutions</t>
  </si>
  <si>
    <t xml:space="preserve">The U.S. Embassy Tokyo of the U.S. Department of State announces an open competition for organizations to submit applications to carry out a program for a media study tour for Japanese journalists on trilateral security cooperation. </t>
  </si>
  <si>
    <t>NSF Ocean Observatories Initiative Facility Board (OOIFB) Administrative Support Office</t>
  </si>
  <si>
    <t xml:space="preserve">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Restricted to individuals who are not serving as PI, co-PI or Senior/Key Personnel for active or pending OOI Operations and Maintenance Awards or subawards. a class=  href= br / </t>
  </si>
  <si>
    <t>The NSF Ocean Observatories Initiative (OOI) is a community-inspired and community-serving large scale research facility enabling ocean science research. It consists of an integrated network of instrumentation arrays, distributed in various coastal and global ocean locations that collect, archive, and distribute quality oceanic and marine atmospheric data to the ocean and Earth science communities. NSF has established the NSF Ocean Observatories Initiative Facility Board (OOIFB) to engage the user community through workshops, community meetings, and other interactive mechanisms to provide the NSF OOI and the NSF with a better understanding of the current and future community needs as they relate to the scientific and technological innovation that the OOI supports.
_x000D_
This solicitation invites proposals for an Administrative Support Office to support the OOIFB in carrying out its responsibilities. The Support Office is responsible for organization of meetings and workshops, coordination and support for travel for OOIFB members and workshop participants, maintenance of the OOIFB website, as well as other activities described within the Program Description section of this solicitation.</t>
  </si>
  <si>
    <t>Strengthening Integrated Health Services Activity (SIHSA)</t>
  </si>
  <si>
    <t>USAID-GUI</t>
  </si>
  <si>
    <t>Guinea USAID-Conakry</t>
  </si>
  <si>
    <t>The United States Agency for International Development (USAID) is seeking applications for a Cooperative Agreement with a Total Estimated Amount of $45,000,000 from qualified entities to implement the program entitled â€œStrengthening Integrated Health Services Activity (SIHSA)â€ in Sierra Leone.USAID anticipates awarding a five-year cooperative agreement (CA) to advance and sustain improved health outcomes for Sierra Leoneans with a focus on, but not limited to: children under five, pregnant and postpartum women, youth and especially adolescent girls, and women and children living in hard-to-reach areas with limited access to health services. Special attention will be paid to those especially vulnerable within these groups, such as the disabled, gender andsexual minorities (GSM), and ethnic and religious minorities.SIHSA seeks to build a sustainable and resilient health system response to improving access, quality, and effectiveness of family planning (FP), reproductive health (RH), maternal, newborn and child health (MNCH), adolescent health, and malaria services. In addition, SIHSA aims at strengthening communities' active engagement for community-driven solutions to improve health outcomes. Finally, SIHSA seeks to promote a paradigm shift within the health system, supporting system-wide action, especially at community and district levels, including reforms that act on the foundations of the health system and create opportunities for partnering with the local civil society and private sector for improved health outcomes.</t>
  </si>
  <si>
    <t>Global Centers</t>
  </si>
  <si>
    <t>This solicitation describes an ambitious program to fund international, interdisciplinary collaborative research centers that will apply best practices of broadening participation and community engagement to develop use-inspired bioeconomy research to address one or more global challenges identified by the scientific community. Here, the "used-inspired" nature of the research refers to project outcomes leading to foreseeable benefits to society. This program will prioritize research collaborations that foster team science and community-engaged research, use knowledge-to-action frameworkswhose rationale, conceptualization, and research directions are driven by the potential use of the results as illustrated by Pasteur s Quadrant (see Stokes, Donald E. (1997), "Pasteur's Quadrant - Basic Science and Technological Innovation," Brooking Institution Press, p.196. ISBN 9780815781776).Proposals should also indicate how research will be co-generated with communities and stakeholders identified in the proposal. The proposed research should maximize the benefits of international, interdisciplinary collaborations, and describe the roles and responsibilities of each national team in achieving the goals of the proposed Global Center. Global Centers projects involving partnership between the U.S. and two or more partner countries are strongly encouraged. Global challenges must be addressed through international collaboration and researchers are encouraged to develop international teams to address research questions that can only be addressed through multilateral efforts.
_x000D_
The topic for the 2024 competition of the Global Centers program is Addressing Global Challenges through the Bioeconomy and may include research from any combination of research disciplines supported by NSF. The Bioeconomy is the share of the economy based on products, services, and processes derived from living systems.Research investments to advance the bioeconomy serve to accelerate scientificdiscovery and to enable the harnessing, engineering, and rational modulation ofbiological systemsto create goods and services that contribute to the agriculture,health, security, manufacturing, energy, and environmental sectors of the global economy; or that provide access to unique systems that help us understand the processes and issues that we can use biotechnology to solve. Bioeconomy is built on the foundation of biotechnology and biomanufacturing, and in addition to biological science and engineering includes contributions from fields such as chemistry, materials science, geosciences, mathematics, data sciences, humanities, and the social sciences.
_x000D_
The world is facing many serious challenges, including, but not limited to, adapting to or mitigating the effect of climate change, developing clean energy approaches, identifying and advancing sustainable food systems, addressing water insecurity, exploring solutions to emerging infectious diseases, creating resource efficiency, sustaining biodiversity, addressing inequalities in access to biotechnologies, and developing a circular bioeconomy. For example, bio-based materials offer heightened biodegradability and biosafety as compared to reusable plastic materials that shed microplastics during use and washing and affect water security and human health.
_x000D_
This Global Centers solicitation in Bioeconomy offers a unique opportunity for interdisciplinary teams of scientists, educators, and practitioners to use knowledge of the bioeconomy to co-develop and execute a research plan for an international center that will address a global challenge facing humanity. The Global Centers program is meant to support multidisciplinary research that can only be achieved through international partnerships uniting complementary areas of expertise, and/or facilitating access to unique expertise or resources of the participating countries. The proposal should explain how the center will maximize the benefits of international collaborations and describe the unique contributions and the roles and responsibilities of each national team in achieving the goals of the proposed Global Center. Successful proposals will describe how the center will tackle a global challenge that can only be addressed through the diversity of knowledge, skills, and resources united in this center.
_x000D_
Addressing global challenges requires international engagement and must go beyond production of data to demonstrate how co-generation and co-production of research with stakeholder groups can maximize the chances of research outcomes being taken up by target groups and applied to address the global challenge. Because change requires human involvement, this process, described as the Knowledge to Action framework explicitly recognizes the need to involve appropriate scientific experts and practitioners who study and work with humans in implementing the human action aspect of the framework. Examples of human action include (but are not limited to) studies in human and societal behavior, in policy, economics, psychology, anthropology, or education. Proposals are expected to describe a center that fully integrates human action elements with the knowledge generation portions of the center to produce a holistic, multi-disciplinary center that is greater than the sum of its parts. The center should offer a plan of research in which disciplines are integrated and complement and support each other to produce world class research, train the next generation of workforce, and use best practices to ensure that participant communities and stakeholder groups are involved in all stages of the research process so that outcomes are aligned with their needs and readily adoptable.
_x000D_
Within the general theme of Bioeconomy, proposals submitted in the framework of this call must be centered on either or both of the two subtopics: Subtopic 1: Leveraging Biodiversity Across the Tree of Life to Power the Bioeconomy; and Subtopic 2: Biofoundries, using the Design-Build-Test-Learn process in biology. All proposals must integrate both of the two crosscutting themes into the proposed work: Crosscutting Theme A: Public engagement and co-generation of research activities to strengthen the global science and technology enterprise; andCrosscutting Theme B: Workforce Development and Education. See Section II, Program Description for details.</t>
  </si>
  <si>
    <t>NIDCR Mentoring Network to Promote a Diverse Dental, Oral and Craniofacial Research Workforce (UE5 Clinical Trial Not Allowed)</t>
  </si>
  <si>
    <t>Native American tribal governments (Federally recognized)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t>
  </si>
  <si>
    <t>The NIH Research Education Program (UE5) supports research education activities in the mission areas of the NIH.  The over-arching goal of this NIDCR UE5 program is to support educational activities that enhance the diversity of the biomedical, behavioral, and clinical dental, oral, and craniofacial (DOC) research workforce.
To accomplish the stated over-arching goal, this FOA will support creative educational activities with a primary focus on    
Mentoring Activities
Courses for Skills Development
The major goal of this funding opportunity is to establish a mentoring network and grant writing skills that will facilitate a diverse pool of early career investigators, including those from groups underrepresented in biomedical, behavioral, and clinical research (see NOT-OD-20-031), to advance their research careers and transition to independent research careers.  This funding opportunity invites applications from senior faculty, experienced mentors and experienced researchers of higher education institutions and professional societies and organizations with existing federally funded programs to develop and direct a mentoring network for eligible early career investigators (post doctorates and junior faculty).
Proposed programs are expected to contribute to the development of a skilled cadre of investigators in requisite scientific research areas to advance the objectives of the NIDCR Strategic Plan.</t>
  </si>
  <si>
    <t>Health Service Delivery   F tifye Manje pou Ranf se Sante ( Strengthening Food to Boost Health ) (F TIFYE) Activity</t>
  </si>
  <si>
    <t>USAID-HAI</t>
  </si>
  <si>
    <t>Haiti USAID-Port Au Prince</t>
  </si>
  <si>
    <t>The United States Agency for International Development (USAID) is seeking applications for a cooperative agreement from qualified entities to implement the FÃ²tifye Manje pou RanfÃ²se Sante ("Strengthening Food to Boost Health") (FÃ’TIFYE). Eligibility for this award is not restricted. USAID intends to make an award to the applicant who best meets the objectives of this funding opportunity based on the merit review criteria described in this NOFO subject to a risk assessment. Eligible parties interested in submitting an application are encouraged to read this NOFO thoroughly to understand the type of program sought, application submission requirements and selection process.To be eligible for award, the applicant must provide all information as required in this NOFO and meet eligibility standards in Section C of this NOFO. This funding opportunity is posted on www.grants.gov, and may be amended. It is the responsibility of the applicant to regularly check the website to ensure they have the latest information pertaining to this notice of funding opportunity and to ensure that the NOFO has been received from the internet in its entirety. USAID bears no responsibility for data errors resulting from transmission or conversion process. If you have difficulty registering on www.grants.gov or accessing the NOFO, please contact the Grants.gov Helpdesk at 1-800-518-4726 or via email at support@grants.gov for technical assistance.USAID may not award to an applicant unless the applicant has complied with all applicable Unique Entity identifier and System for Award Management (SAM) requirements detailed in Section D.6.g. The registration process may take many weeks to complete. Therefore, applicants are encouraged to begin registration early in the process.Please send any questions to the point(s) of contact identified in Section G. The deadline for questions is shown above. Responses to questions received prior to the deadline will be furnished to all potential applicants through an amendment to this notice posted to www.grants.gov.Issuance of this notice of funding opportunity does not constitute an award commitment on the part of the Government nor does it commit the Government to pay for any costs incurred in preparation or submission of comments/suggestions or an application. Applications are submitted at the risk of the applicants. All preparation and submission costs are at the applicantâ€™s expense.Thank you for your interest in USAID programs.</t>
  </si>
  <si>
    <t>Local Governance and Accountability Project</t>
  </si>
  <si>
    <t xml:space="preserve">U.S. Embassy Cotonou is pleased to announce an open competition for non-governmental organizations to apply for a Local Governance and Accountability Project in Borgou Department under the Prevention and Stabilization Fund (PSF).  
This project seeks to improve civic participation and government engagement in marginalized communities in northern Benin, fostering transparency, accountability, and collaboration by providing tools, knowledge, and resources for marginalized communities and their associated civil society groups to actively engage in local governance and the political sphere to achieve representation and receive improved service delivery. 
Detailed description of the grant and guidelines are below. Please read carefully to see if your project is eligible. A grant of $250,000 U.S. Dollars (USD) in FY 2023-FY 2025 Economic Support Fund (ESF) resources will be awarded (pending availability of funds) for work that will support program objectives below.  
Priority Region: Borgou Department with special emphasis on the communes of Bembereke, Kalale, Perere, and Sinende. Additional departments and communes may be considered at a later stage. 
Background: 
In Benin, the practice of decentralization since 2013 has gradually strengthened citizen participation in local governments by bringing citizens closer to local governments.  However, marginalized communities at the local level in rural communities are not always integrated into the decision-making processes in central and local governments (communes).  This compromises their ability to influence policies creating the impression central authorities are not prioritizing their needs.  Of particular concern are the 6,000 internally displaced persons (IDPs) in Benin displaced by violence and insecurity in northern departments. Encouraging greater participation in party politics, voting, and civic engagement equates to empowering these groups politically as majority political parties continue to exercise significant influence over the management of communes.  Civil society organizations acknowledge the need to include the local public, including marginalized communities and underrepresented groups in decision-making so that local governments ensure that all citizensâ€™ needs are met through the principles of good governance.  Promoting greater engagement and a more inclusive and responsive political system ensure that citizenâ€™s needs and aspirations are met, which prevents violent conflicts caused by social resentment. 
In support of the stated goal, project objectives may include, but are not limited to, the following: 
Objective 1: Build capacity of women, minority ethnic groups, LGBTQI+ persons, religious minorities, and in particular internally displaced persons (IDPs) to actively participate in policy dialogue, political processes, and upcoming local and national elections.   
Objective 2: Promote greater civic awareness, citizen engagement and ultimately a more inclusive and responsive political system that better serves the need and aspirations of targeted groups.  
Objective 3: Protect and promote human rights and equal protection under the law of targeted groups and other community at risk. 
B. FEDERAL AWARD INFORMATION  
Length of performance period: 12 months  
Number of awards anticipated: 1 award.  
Award amount: $250,000.   
Type of Funding: Fiscal Years 2023- 2025 Prevention and Stabilization Fund (PSF)  
Anticipated start date: October 2024 
Anticipated end date: September 2025  
This notice is subject to availability of funding. 
 C. ELIGILIBITY INFORMATION  
To be eligible to receive the fund, the applicant must be: 
Â· Benin-based non-profit/non-governmental organization and possess a Registration Certificate (RÃ©cÃ©pissÃ© de dÃ©claration dâ€™association Â» or Â« Extrait du Journal Officiel)  
Â· Have a bank account in the name of the organization.  
Â· Have an electronic bank account before U.S. Embassy Cotonou can grant an award.  
Â· Must provide electronic funds transfer information for the recipient entity (name of bank, account name, account number and type of account). This cannot be the personal bank information of any individual representative. Banque de lâ€™habitat, BSIC, and CLCAM accounts are not accepted. 
Â· Have a Unique Entity Identifier (UEI). Please see Section (Required Registrations) for information.  
Must NOT be funded or being considered for funding for the same activities by other donors or the Government of Benin. 
D. APPLICATION AND SUBMISSION INFORMATION  
Application Package: Applications must include all the items below. Please refer to the funding opportunity number.  
Submission Date and Time: Applications must arrive via e-mail to CotonouGrants@state.gov  by May 17, 11:59 p.m. (WAT or GTM +1). Any applications arriving after this date will be automatically disqualified. 
FEDERAL AWARDING AGENCY CONTACTS  
If you have any questions about the grant application process, please contact U.S. Embassy Cotonou by email at CotonouGrants@state.gov. Please refer to the funding opportunity number. 
For consideration, please email complete application package in English or in French to CotonouGrants@state.gov  
We do not provide any pre-consultations for application-related questions that are addressed in this notice of funding opportunity. Once an application has been submitted, Department of State officials and staff â€” both in the Department and at embassies overseas â€” may not discuss this competition with applicants until the entire proposal review process is completed. 
 </t>
  </si>
  <si>
    <t>FY 2024 Reaching a New Energy Sciences Workforce (RENEW)</t>
  </si>
  <si>
    <t>PAMS-SC</t>
  </si>
  <si>
    <t>Office of Science</t>
  </si>
  <si>
    <t>Unrestricted (i.e., open to any type of entity above), subject to any clarification in text field entitled "Additional Information on Eligibility" In order to support traineeships for students and postdoctoral researchers from non-R1 Emerging Research Institutions (ERIs) and non-R1 Minority Serving Institutions (MSIs) in areas relevant to SC programs, applications must be led by either a non-R1 ERI or a non-R1 MSI. Any domestic entity may be proposed as a team member, either as a subrecipient or using the collaborative application process.</t>
  </si>
  <si>
    <t>Reaching a New Energy Sciences Workforce (RENEW) aims to build foundations for Office of Science (SC) research through traineeships at academic institutions that have been historically underrepresented in the SC portfolio. RENEW leverages SCâ€™s unique national laboratories, user facilities, and other research infrastructure to provide training opportunities for students and postdoctoral researchers from these institutions. The hands-on experiences gained through RENEW will open new career avenues for trainees, forming a nucleus for a future pool of talented young scientists, engineers, and technicians with the critical skills and expertise needed for the full breadth of SC research activities.  
ï»¿RENEW supports traineeships for students and postdoctoral researchers from non-R1 Emerging Research Institutions (ERIs)[1] and non-R1 Minority Serving Institutions (MSIs)[2],[3] in areas relevant to SC programs. SC seeks applications to develop traineeships for participants from these institutions that involve conducting research in partnership with a DOE-affiliated institution, including DOE National Laboratories, SC user facilities, Bioenergy Research Centers, or DOE Isotope Program Production Sites. Traineeships may include partnerships with multiple DOE-affiliated partner institutions to learn about the diversity and breadth of science conducted by the Office of Science. 
Undergraduate traineeships should include hands-on research experience to foster greater understanding of the research process, such as how to identify knowledge gaps and develop effective hypotheses, how to test hypotheses, and how to work within a team structure to accomplish an objective. The proposal should describe how the traineeship will accommodate differences in preparation among trainees. Traineeships for graduate students or postdoctoral researchers should be appropriately scaled for the development of future leaders in their research field. Trainees should have the opportunity to actively engage in meaningful and diverse research tasks, maximizing their involvement and learning experience. Trainee involvement should not be limited to routine, simple tasks in the laboratory or literature research. Traineeships should engage the trainee on a regular basis (e.g., weekly). 
Traineeships should also include complementary activities for traineesâ€™ professional development and career advancement, including efforts to build or reinforce STEM identity and sense of belonging. This could include research presentations, participation in scientific research meetings, lectures, mentoring (discussed further below), or developing new content to connect research to academic curriculum. 
Trainees are participants in and beneficiaries of a structured, substantive STEM training program with measurable expectations and a duration and intensity substantial enough to achieve both short-term and long-term training outcomes. Research has shown that long-term, year-round experiences build studentsâ€™ commitment to their fields and increase their confidence that they can succeed.[4],[5] Preference will be given to applications that provide compensation comparable to the cost of living or provide support for students such as guaranteed housing. To achieve this objective, a significant portion of the proposed budget must be allocated for trainee support. 
[1] Emerging research institution was defined in the CHIPS and Science Act of 2022. Federal research expenditures are based on the National Science Foundationâ€™s Higher Education Research and Development Survey: Fiscal Year 2021 (https://ncses.nsf.gov/surveys/higher-education-research-development/2021). 
[2] The Carnegie Classification of Institutions of Higher Education can be found at https://carnegieclassifications.acenet.edu. A list of institutions with very high research activity (R1 institutions) is available at https://carnegieclassifications.acenet.edu/institutions/?basic2021__du%5B%5D=15. 
[3] MSI designations are based on the Department of Education eligibility matrix (https://www2.ed.gov/about/offices/list/ope/idues/eligibility.html). Eligible MSIs are listed as Asian American and Native American Pacific Islander Serving Institutions (AANAPISIs), Alaska Native and Native Hawaiian Serving Institutions (AANHs), Hispanic Serving Institutions (HSIs), Native American Serving Non-Tribal Institutions (NASNTI), Predominantly Black Institutions (PBIs), Historically Black Colleges and Universities (HBCUs), and Tribally Controlled Colleges and Universities (TCCUs). For the purposes of this FOA, institutions marked in the eligibility matrix as either being eligible to receive funding or as receiving funding will be considered an MSI. 
[4] https://doi.org/10.1187/cbe.11-11-0098 
[5] https://doi.org/10.1002/tea.21341</t>
  </si>
  <si>
    <t>U.S. Mission to China Public Diplomacy Grants Annual Program Statement</t>
  </si>
  <si>
    <t>DOS-CHN</t>
  </si>
  <si>
    <t>U.S. Mission to China</t>
  </si>
  <si>
    <t>Others (see text field entitled "Additional Information on Eligibility" for clarification) Eligibility is limited to U.S. and PRC entities qualified to receive U.S. grants and able to develop and implement programs in the People s Republic of China.  These include the following: Not-for-profit organizations, including think tanks, educational institutions, civil society organizations, and individuals carrying out programs in support of civil society; Museums, national parks, and nature reserves; and  Individuals.  Applicants must demonstrate expertise in one or more of the following subject areas: people-to-people exchanges, cultural or academic programming, international cooperation, or institution-to-institution partnerships in a foreign setting. For-profit or commercial entities and organizations are NOT eligible to apply. Proposals for projects and programs in Hong Kong, Macau, or Taiwan are not eligible to be considered.</t>
  </si>
  <si>
    <t xml:space="preserve">A. PROGRAM DESCRIPTION:  
The Public Diplomacy Sections of the U.S. Mission to China (Embassy Beijing and Consulates General Shanghai, Guangzhou, Wuhan, and Shenyang) of the United States Department of State are pleased to announce an open competition for awards available through the Mission China Public Diplomacy Grants Program. This is an Annual Program Statement, outlining our broad funding priorities, strategic themes, and the procedure for submitting requests for funding. Please carefully follow all instructions below and use the grant application document and budget template found on our website. 
Applicants may submit proposals for funding for small grants (total funding of up to $30,000) or large grants (total funding between $50,000 and $150,000).  
Purpose: 
The U.S. Mission to China invites proposals for projects that strengthen people-to-people ties between the United States and the Peopleâ€™s Republic of China (PRC),and increase local PRC audiencesâ€™ understanding of the United Statesâ€™ foreign policy, values, and culture through direct or virtual engagement. Competitive proposals should support a priority program area (see below). All programs must include content or connections with American expert(s), organization(s), or institution(s) that will promote increased cooperation between the people of the United States, the U.S. Mission in China, and the people of China. 
Examples of Public Diplomacy Grants Program projects include, but are not limited to:  
 Academic and professional lectures, seminars, and speaker programs; 
 Artistic and cultural workshops, joint performances, and exhibitions; 
 Cultural heritage protection programs; and 
 Programs that encourage and expand connections between students and scholars in both countries. 
Priority Program Areas: 
 People-to-People Connections: Projects that support the enhancement of U.S.-China people-to-people engagement, particularly those that increase understanding of the United States among the people of China. 
 Expanding Connections in Education and Cultural Exchange: These may include projects that encourage sharing of new approaches, methods, and content in education, and projects that encourage increased understanding of U.S. society and culture through music, drama, and the arts.  
 Confronting the Climate Crisis: Projects that increase public awareness of and engagement in environmental protection and climate change issues, and that promote cooperation in research, policy development, and innovation to combat climate change. This may include areas such as sustainable development, sustainable finance, energy issues, eco-tourism, and other related fields. 
 Diversity, Equity, Inclusion, and Accessibility: Projects that promote expanding access for persons with disabilities, womenâ€™s empowerment, LGBTQI+ rights, and the preservation of minority cultures, especially including projects to ensure sustainable incomes and prosperity for minority communities and those with otherwise limited access to networks of support. 
 Health: Projects that promote a greater understanding of the value of health cooperation between China and U.S. to improve the health of both countries and the world, including increasing understanding of U.S.-China cooperation on health research, supporting policy development, and enhancing program implementation. 
 English Language Teaching and Learning: Projects that support innovative, interactive teaching and learning of the English language. Projects that directly support ongoing efforts of the Mission China English Language Office will be especially welcome. 
Participants and Audiences: 
The U.S. Mission to China seeks to fund creative projects that build upon existing partnerships between U.S. organizations and Chinese counterparts, as well as those that create new partnerships and expand operational capabilities of existing organizations. The U.S. Embassy and Consulates in China also welcomes proposals that engage audiences outside of the PRCâ€™s largest cities. Of particular interest are programs that establish sustainable relationships with communities who for reasons such as language or geography cannot easily engage with our Mission.  
 The following types of programs are not eligible for funding:  
  Programs relating to partisan political activity; 
 Programs that do not contain people-to-people exchanges or interactions; 
 Charitable or development activities; 
 Construction programs; 
 Programs that support specific religious activities; 
 Fund-raising; 
 Lobbying for specific legislation or programs; 
 Scientific research; 
 Programs intended primarily for the growth or institutional development of the organization; and 
 Programs that duplicate existing programs. 
 Funding authority rests in the Smith-Mundt Act. The source of funding is FY2024 Public Diplomacy Funding.  
B. FEDERAL AWARD INFORMATION 
Length of performance period: Six to 12 months 
Number of awards anticipated: Subject to availability of funds 
Award amounts: Maximum of $30,000 (Public Diplomacy Small Grants) or $150,000 (Public Diplomacy Large Grants) per award 
Total available funding: Subject to availability of funds 
Type of Funding: FY2024 Public Diplomacy Funding 
Anticipated program start date: July 31, 2024 
This notice is subject to availability of funds.  
Funding Instrument Types: Grant, Fixed Amount Award (FAA), or Cooperative agreement. Cooperative agreements and some FAAs are different from grants in that Mission China public affairs staff are more actively involved in the grant implementation (â€œSubstantial Involvementâ€). Depending on the project selected for funding, substantial involvement may include review and approval of participants, project sites, and specific project content.  
Program Performance Period: Proposed programs should be completed in 12 months or less. 
U.S. Mission China's FY2024 Complete Annual Program Statement can be found in the Related Documents Folder. </t>
  </si>
  <si>
    <t>Civil Works Strategic Focus Areas</t>
  </si>
  <si>
    <t xml:space="preserve">This notice is for a Commercial Solutions Opening (CSO) in support of civil works strategic focus areas. The USACE, and its Civil Works mission areas of commercial navigation, flood and coastal storm risk management, and aquatic ecosystem restoration, will play an essential role in energizing the US economy as we recover from recent crises and prepare for the future challenges facing our Nation. Investments in Civil Works are critical in generating near- and long-term benefits for securing our communities, supporting and growing our economy, creating jobs, and enhancing broader societal impacts such as improved public health, National security, recreation and tourism.Award of a grant or cooperative agreement is subject to applicable terms and conditions of 2 CFR 200, 2 CFR 1104, DoD Grant and Agreement Regulations (DoDGARs), and DoD Research Terms and ConditionsGo to https://www.erdcwerx.org/civil-works-cso/ for details and submission instructions.All solutions shall be submitted through ERDCWERX via the link above. Solutions for the strategic focus areas will be accepted beginning 23 May 2023 and ending 1700 CST 22 May 2024. </t>
  </si>
  <si>
    <t>FY 2024 Funding for Accelerated, Inclusive Research (FAIR)</t>
  </si>
  <si>
    <t>Private institutions of higher education Eligibility for award is restricted to domestic applicants except nonprofit organizations described in section 501(c)(4) of the Internal Revenue Code of 1986 that engaged in lobbying activities after December 31, 1995, that must be either:1.	Classified as an MSI  and NOT listed as an R1 Research Institution,  or2.	An emerging research institution (ERI), defined as an institution of higher education with an established undergraduate or graduate program that has less than $50,000,000 in annual Federal research expenditures, and NOT listed as an R1 Research Institution.</t>
  </si>
  <si>
    <t>The Office of Science (SC) seeks applications for fundamental research in fields supported by SC to build research capacity at institutions historically underrepresented in the SC portfolio, i.e. non-R1 minority serving institutions (MSIs)[1],[2] and non-R1 emerging research institutions (ERIs).[3] This FOA aims to build research capacity, including infrastructure and expertise at these institutions, through mutually beneficial relationships between applicants and DOE national laboratories, SC scientific user facilities, or R1 MSI/ERIs. A list of institutions and their designations is provided at https://science.osti.gov/grants/Applicant-and-Awardee-Resources/Institution-Designations.   [1] The Carnegie Classification of Institutions of Higher Education can be found at https://carnegieclassifications.acenet.edu. A list of institutions with very high research activity (R1 institutions) is available at https://carnegieclassifications.acenet.edu/institutions/?basic2021__du%5B%5D=15. [2] MSI designations are based on the Department of Education eligibility matrix (https://www2.ed.gov/about/offices/list/ope/idues/eligibility.html). Eligible MSIs are listed as Asian American and Native American Pacific Islander Serving Institutions (AANAPISIs), Alaska Native and Native Hawaiian Serving Institutions (AANHs), Hispanic Serving Institutions (HSIs), Native American Serving Non-Tribal Institutions (NASNTI), Predominantly Black Institutions (PBIs), Historically Black Colleges and Universities (HBCUs), and Tribally Controlled Colleges and Universities (TCCUs). For the purposes of this FOA, institutions marked in the eligibility matrix as either being eligible to receive funding or as receiving funding will be considered an MSI. [3] Emerging research institution was defined in the CHIPS and Science Act of 2022. Federal research expenditures are based on the National Science Foundationâ€™s Higher Education Research and Development Survey: Fiscal Year 2021 (https://ncses.nsf.gov/surveys/higher-education-research-development/2021).</t>
  </si>
  <si>
    <t>Center of Excellence for Systems Modeling of Infection and Immunity across Biological Scales (U54 Clinical Trial Not Allowed)</t>
  </si>
  <si>
    <t>Native American tribal governments (Federally recognized)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 are not eligible to apply.Non-domestic (non-U.S.) components of U.S. Organizations are not eligible to apply.Foreign components, as defined in the NIH Grants Policy Statement, are allowed.</t>
  </si>
  <si>
    <t>The purpose of this Notice of Funding Opportunity (NOFO) is to support the establishment of one (1) Center of Excellence (CoE) to coordinate the research community of infectious and immune-mediated disease (IID) computational modelers and advance IID modeling research across biological scales. The CoE must include three (3) coordinating cores and two (2) research projects to advance and integrate bridge models across scales in the context of IID, including HIV/AIDS. The CoE will accelerate multi-scale model development, sharing and re-use, and support collaboration to benefit the entire IID research community.</t>
  </si>
  <si>
    <t>Countering Crowdfunding for Terrorism Financing</t>
  </si>
  <si>
    <t>The Bureau of Counterterrorism (CT) of the U.S. Department of State announces an open competition for organizations to submit applications to improve selected countriesâ€™ capacities to counter the financing of terrorism conducted via crowdfunding, including through misuse of the non-profit organization (NPO) sector and use of virtual assets.</t>
  </si>
  <si>
    <t>Air Force Fiscal Year 2025 Young Investigator Program (YIP)</t>
  </si>
  <si>
    <t>DOD-AFOSR</t>
  </si>
  <si>
    <t>Air Force Office of Scientific Research</t>
  </si>
  <si>
    <t>Private institutions of higher education The Fiscal Year 2025 Air Force Young Investigator Research Program (YIP) intends to support individual early in career scientists and engineers who have received Ph.D. or equivalent degrees by 01 April 2017 or later showing exceptional ability and promise for conducting basic research._x000D_
Individual awards are made to U.S. institutions of higher education, industrial laboratories, for- profit, or non-profit research organizations where the principal investigator (PI) is employed on a full-time basis and holds a regular, non-contractor position. A YIP PI must be a U.S. citizen, national, or permanent resident. Researchers working at a Federally Funded Research and Development Center, or a Department of Defense (DoD) Laboratory are not eligible for this competition.</t>
  </si>
  <si>
    <t>The Fiscal Year 2025 Air Force Young Investigator Research Program (YIP) intends to support individual early in career scientists and engineers who have received Ph.D. or equivalent degrees by 01 April 2017 or later showing exceptional ability and promise for conducting basic research. The program objective is to foster creative basic research in science and engineering; enhance early career development of outstanding young investigators; and increase opportunities for the young investigator to recognize the Air Force and Space Force mission and related challenges in science and engineering.Individual awards are made to U.S. institutions of higher education, industrial laboratories, for- profit, or non-profit research organizations where the principal investigator (PI) is employed on a full-time basis and holds a regular, non-contractor position. A YIP PI must be a U.S. citizen, national, or permanent resident. Researchers working at a Federally Funded Research and Development Center, or a Department of Defense (DoD) Laboratory are not eligible for this competition.YIP awards are funded up to $150,000 per year for three years, for a total of $450,000. No single year may exceed $150,000. Please review the remainder of this announcement for additional information.Under this competition, an anticipated thirty-seven (37) traditionally funded YIPs and two YIPs funded in partnership with the Laboratory for Physical Sciences (LPS) in the Quantum Information Sciences research discipline may be awarded. There may be potential for an additional 37 YIPs funded from other AFOSR research funding. All actions are based on the availability of funds.</t>
  </si>
  <si>
    <t>Announcement for Program Funding for NRCS  Conservation Innovation Grants (CIG) for Federal fiscal year (FY) 2024   Caribbean Area</t>
  </si>
  <si>
    <t>Native American tribal governments (Federally recognized) Individuals that are business owner/operators cannot apply as individuals.</t>
  </si>
  <si>
    <t>Notice of Funding Opportunity SummaryNRCS is announcing the availability of Conservation Innovation Grants (CIG) Caribbean Area Program funding to stimulate the development and adoption of innovative conservation approaches and technologies. Applications are accepted from eligible entities (Section C) for projects carried out in the Caribbean Area (Puerto Rico (PR) and the U.S. Virgin Islands (USVI)). A total of up to $500,000 is available for the Caribbean Area CIG competition in FY 2024. All non-Foreign, non-federal entities (NFE) and individuals are invited to apply, with the sole exception of federal agencies. Projects may be between one and three years in duration. The maximum award amount for a single award in FY 2024 is $100,000. For new users of Grants.gov, see Section D. of the full Notice of Funding Opportunity for information about steps required before submitting an application via Grants.gov. Completing all steps required to start an application can take a significant amount of time, plan accordingly.Key DatesApplicants must submit their applications via Grants.gov by 11:59 pm Eastern Time on May 15, 2024 For technical issues with Grants.gov, contact Grants.gov Applicant Support at 1-800-518-4726 or support@grants.gov. Awarding agency staff cannot support applicants regarding Grants.gov accounts. For inquiries specific to the content of the NFO requirements, contact the federal awarding agency contact (section G of this NFO). Please limit questions to those regarding specific information contained in this NFO (such as dates, page numbers, clarification of discrepancies, etc.). Questions related to eligibility, or the merits of a specific proposal will not be addressed.A webinar for CIG applicants is scheduled for April 9, 2024 at 9 a.m. Atlantic Standard Time. Information on how to participate in the webinar will be posted to the HYPERLINK website. Applicants are encouraged to visit the Caribbean Area CIG website to learn more about the CIG program.The agency anticipates making selections by June 30, 2024 and expects to execute awards by July 30, 2024. These dates are estimates and are subject to change.</t>
  </si>
  <si>
    <t>BJA FY24 Community-based Approaches to Prevent and Address Hate Crime</t>
  </si>
  <si>
    <t>Others (see text field entitled "Additional Information on Eligibility" for clarification) This includes community-based organizations and civil rights organizations that are tribal, non-profit, and academic.</t>
  </si>
  <si>
    <t>With this solicitation, BJA seeks to support comprehensive community-based approaches to addressing hate crimes that promote community awareness and preparedness, increase victim reporting, and improve responses to hate crimes. The program is also designed to develop community-informed models for preventing and responding to hate speech and incidents, as well as facilitating reconciliation and community healing.</t>
  </si>
  <si>
    <t>Ambassador's Special Self-Help Fund (Angola)</t>
  </si>
  <si>
    <t>DOS-AGO</t>
  </si>
  <si>
    <t>U.S. Mission to Angola</t>
  </si>
  <si>
    <t>Private institutions of higher education Angolan NGOs and community groups.</t>
  </si>
  <si>
    <t>The U.S. Embassy Luanda is pleased to announce the availability of a funding opportunity through the 2024 Ambassadorâ€™s Special Self-Help Fund. The Ambassadorâ€™s Special Self-Help (SSH) program is a grass-roots grant assistance program that allows U.S. Ambassadors to support local requests for small community-based development projects. The purpose of the Special Self-Help Program is to support communities through modest grants that will positively impact local communities. The SSH philosophy is to help communities ready to help themselves.</t>
  </si>
  <si>
    <t>Ambassador's Special Self-Help Fund (Sao Tome and Principe)</t>
  </si>
  <si>
    <t>Nonprofits that do not have a 501(c)(3) status with the IRS, other than institutions of higher education Santomean NGOs and community groups.</t>
  </si>
  <si>
    <t>Water Conservation Field Services Program for Fiscal Year 2024</t>
  </si>
  <si>
    <t>Others (see text field entitled "Additional Information on Eligibility" for clarification) States, Indian tribes, irrigation districts, water districts, or other organizations with water or power delivery authority located in the Lower Colorado Basin or Hawaii, American Samoa, Guam, and the Northern Mariana Islands.</t>
  </si>
  <si>
    <t>The Department of the Interiorâ€™s (DOIâ€™s) WaterSMART (Sustain and Manage Americaâ€™s Resources for Tomorrow) Program provides a framework for Federal leadership and assistance to stretch and secure water supplies for future generations in support of DOI priorities. Through WaterSMART, the Bureau of Reclamation (Reclamation) leverages Federal and non-Federal funding to work cooperatively with states,tribes, and localentities as they plan for and implement actions to increase water supply reliability through investments in existing infrastructure and attention to local water conflicts.Drought conditions across the Western United States (U.S.) impact a wide range of communities and sectors, including agriculture, cities, tribes, the environment, recreation, hydropower producers, and others. Reclamation established the Water Conservation Field Services Program (WCFSP) in 1996 to encourage beneficiaries of Federal water projects to conserve water, and to assist agricultural and urban water districts in preparing and implementing water conservation plans in accordance with the Reclamation Reform Act (RRA) of 1982. Through the WCFSP, Reclamation makes cost- shared financial assistance available for developing water conservation plans, identifying water management improvements through System Optimization Reviews (SORs), designing water management improvements, and improving the understanding of water conservation techniques through demonstration activities.The WCFSP provides support for priorities identified in Presidential Executive Order (E.O.) 14008: Tackling the Climate Crisis at Home and Abroad and aligned with other priorities, such as those identified in E.O. 13985: Advancing Racial Equity and Support for Underserved Communities Through the Federal Government. WaterSMART also supports Reclamationâ€™s priorities to increase water reliability and resilience, support racial and economic equity, modernize infrastructure, and enhance water conservation, ecosystem, and climate resilience.Through this NOFO, Reclamationâ€™s Lower Colorado Basin Region (LCB) is requesting proposals to fund activities in support of the WCFSP within the LCB, within the State of Hawaii (map provided below), American Samoa, Guam, and the Northern Mariana Islands.</t>
  </si>
  <si>
    <t>Confronting Hazards, Impacts and Risks for a Resilient Planet</t>
  </si>
  <si>
    <t xml:space="preserve">The Confronting Hazards, Impacts and Risks for a Resilient Planet Program (CHIRRP) invites projects focusing on innovative and transformative research that advances Earth system hazard knowledge and risk mitigation in partnership with affected communities. Hazards compounded by changing climates, rising populations, expanding demands for resources, aging infrastructure, and increasing reliance on technology are putting our economy, well-being, and national security at risk. Researchers, academics, and community leaders will work together to develop community-driven research questions and actionable, science-based solutions that increase community resilience now and in the future. CHIRRP projects are expected to advance understanding, forecasting and/or prediction of future Earth system hazards and risks, engage communities in development of research questions and approaches, and produce actionable, science-based solution pathways for adaptation methodologies, products, and services. CHIRRP projects may evaluate a single or system of cascading hazards, impacts, and risks at a local, regional, or global scale through the lens of transformative earth system science research. Competitive projects will engage community partners at all stages of a project from development to implementation.
_x000D_
CHIRRP currently supports planning, conference, RCNs, EAGER, and RAISE proposals that support development of community partnerships, provide training for effective community engagement, catalyze ideas, and/or support the initial conceptualization, planning and collaboration activities aimed at formulating new and sound plans for future large-scale projects.
_x000D_
CHIRRP Elements Â CHIRRP projects will demonstrate convergence of three essential elements: (1) Equitable Community Partnerships; (2) an Earth System Science approach to advance knowledge of hazards, impacts, and risks and (3) Actionable Solutions that increase resilience. The initiative seeks solutions to existing as well as next-generation Earth system hazards1.
_x000D_
Build Equitable Community Partnerships: CHIRRP projects will serve a community and equitably co-produce project research questions and solutions. CHIRRP teams will bring together community members with direct knowledge of hazard impacts and community priorities and researchers with expertise in the natural and human dimensions of the Earth system. Partners may include, but are not limited to, local governments, Tribal Nations, civil society organizations, youth groups, and non-government organizations (NGOs). Robust partnerships are responsive to community priorities, may involve a social science component, and lead to actionable solutions that increase community resilience.
_x000D_
Advance Earth System Science: Generating practical and foundational knowledge on many of the nation's most urgent challenges requires a systems approach to understand the highly interdependent and complex natural and human components of the Earth system. CHIRRP projects will innovate and advance Earth System Science approaches that explore dynamic interactions and couplings among natural and social processes that affect EarthÂ’s capacity to sustain the well-being of communities, infrastructure, and national security.Â Evaluate Actionable Science-Based Solutions: CHIRRP deliverables include co-produced innovative, science-based actionable solution pathways that mitigate future hazards, impacts, and risks. Multiple solutions may exist, and new solutions may emerge in the future. CHIRRP projects will inform pathways to resilience through evaluation of different solutions informed by the advancement of earth systems knowledge delivered from the project. An understanding of risk, vulnerability and resilience necessarily entails an understanding of relevant social dynamics including methods and analysis to identify how the impacts of hazards may disproportionately affect specific segments of a community or region. Solutions should be responsive to community priorities, including objectives such as reducing Earth system hazard related risk, increasing resilience, and advancing equity.Â 1National Academies of Sciences, Engineering, and Medicine. 2022. Next Generation Earth Systems Science at the National Science Foundation. Washington, DC: The National Academies Press. https://doi.org/10.17226/26042.
_x000D_
</t>
  </si>
  <si>
    <t>Bipartisan Infrastructure Law (BIL) Advanced Energy Manufacturing and Recycling Grant Program Section 40209</t>
  </si>
  <si>
    <t>Others (see text field entitled "Additional Information on Eligibility" for clarification) Refer to Section III of the FOA</t>
  </si>
  <si>
    <t>Bipartisan Infrastructure Law (BIL) Funding Opportunity Announcement (FOA) DE-FOA-0003294: BIL - Advanced Energy Manufacturing and Recycling Grant Program (Section 40209) through the Office of Manufacturing and Energy Supply Chains (MESC)_x000D_
_x000D_
Modification 000002 - The purpose of this modification is to: (1) Update page number references in the BIL Section 40209 FOA Guide; (2) Update Section I.B.i. to clarify other advanced energy property; (3) Update Section III.A.i. to clarify demonstration of eligibility for the energy bills requirement; (4) Update Appendix I - Eligible SAEP Guidance to clarify other advanced energy property_x000D_
_x000D_
The BIL invests appropriations over Fiscal Years (FYs) 2022 through 2026 to establish the Advanced Energy Projects Grant Program, which will support industrial projects in eligible energy communities._x000D_
_x000D_
Through the two (2) Areas of Interest (AOI), the FOA will provide approximately $425 million in support of projects by small- and medium-sized manufacturing firms (SMMs)_x000D_
_x000D_
AOI 1: Clean Energy Manufacturing and Recycling:_x000D_
_x000D_
The objective of AOI 1 is to increase domestic manufacturing and recycling capacity for materials, components, and systems needed for the clean energy transition._x000D_
_x000D_
DOE is seeking applications for projects in this AOI to establish new, or re-quip or expand, an existing manufacturing or recycling facility for the production or recycling, as applicable, of advanced energy property. _x000D_
_x000D_
AOI 2: Industrial Decarbonization:_x000D_
_x000D_
The overall objectives for AOI 2 is to reduce Greenhouse Gas (GHG) emissions in the United States manufacturing sector through substantial reductions in existing facilities and new builds that result in low carbon materials.  _x000D_
_x000D_
Subtopic AOI 2a:  Re-equip an existing industrial or manufacturing facility with equipment designed to substantially reduce the GHG emissions of that facility. _x000D_
_x000D_
Subtopic AOI 2b:  Establish new, or re-equip or expand, an existing manufacturing or recycling facility that produces materials that result in substantially lower carbon intensity compared to an appropriate industry benchmark and are not derived from a primary feedstock of palm fatty acid distillates or fossil fuels including coal, natural gas, and petroleum.</t>
  </si>
  <si>
    <t>American Schools and Hospitals Abroad Program Worldwide</t>
  </si>
  <si>
    <t>Others (see text field entitled "Additional Information on Eligibility" for clarification) Please see the RFA document for full information regarding eligibility.</t>
  </si>
  <si>
    <t>ASHA's draft Fiscal Year 2024 Request for Applications (RFA) is available for Public Comments from March 8, 2024 until April 1, 2024 on Grants.gov.Please submit comments to ASHAapplications@usaid.gov by April 1, 2024 at 4pm US EDT. Comments will not be accepted through the grants.gov portal.</t>
  </si>
  <si>
    <t>U.S. Embassy Praia PDS Annual Program Statement</t>
  </si>
  <si>
    <t>DOS-CPV</t>
  </si>
  <si>
    <t>U.S. Mission to Cape Verde</t>
  </si>
  <si>
    <t>Others (see text field entitled "Additional Information on Eligibility" for clarification) Registered not-for-profit organizations, including think tanks and civil society/non-governmental organizations with programming experience; Individuals; Non-profit or governmental educational institutions and Governmental institutions.</t>
  </si>
  <si>
    <t>The U.S. Embassy PRAIA Public Diplomacy Section (PDS)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below.Purpose of Small Grants: PDS Praia invites proposals for programs that strengthen bilateral ties between the U.S. and Cabo Verde. All programs that focus on the environment, renewal energy, small business promotion, or expands English will have special consideration.Examples of PDS Small Grants Program programs include, but are not limited to:Â· Academic and professional lectures, seminars, and speaker programs;Â· Professional and academic exchanges and;Â· Journalism trainings and exchanges;Â· Tech trainings and exchanges such as hackathons and coding camps;Â· Programs that strengthen U.S. college and university relationships with local higher education institutions, American Chambers of Commerce (AmChams), businesses, and/or regional organizations;Â· Municipal and regional libraries, and community centers that are interested in becoming an American Space;Â· Programs developed by an alumnus/a of a U.S. sponsored or supported educational or professional exchange program;Priority Program Areas:Â· English Language Essay Contests or English Language thematicÂ· Entrepreneurship and Economic Development, with priority given to projects that seek to increase environmental tourism;Â· Partnerships between U.S. and Cabo Verde institutions committed to education, academic research, and cross-cultural academic exchanges in the field of environmental protection and renewable energy;Participants and Audiences:All proposals should focus on engaging Cabo Verdeans in Cabo Verde. Proposals can include diaspora but must include local populations. Those projects that target youth, women, and marginalized communities are encouraged. Other key audiences may include: the LGBT community, persons with disabilities, journalists and media professionals, entrepreneurs, NGOs, and English teachers.The following types of programs are not eligible for funding:Â· Publishing of booksÂ· Translation of booksÂ· Conference attendance (i.e. participant travel to UN program conference, etc.)Â· Programs relating to partisan political activitiesÂ· Charitable or development activitiesÂ· Construction programsÂ· Programs that support specific religious activitiesÂ· Fundraising campaignsÂ· Lobbying for specific legislation or programsÂ· Scientific researchÂ· Programs intended primarily for the growth or institutional development of the organization orÂ· Programs that duplicate existing programs</t>
  </si>
  <si>
    <t>Office of Elementary and secondary Education (OESE): Office for School Support and Accountability: Competitive Grants for State Assessments (CGSA) program, Assistance Listing Number (ALN) 84.368A</t>
  </si>
  <si>
    <t>Others (see text field entitled "Additional Information on Eligibility" for clarification) 1.  Eligible Applicants:  SEAs, as defined in section 8101(49) of the ESEA, of the 50 States, the District of Columbia, and the Commonwealth of Puerto Rico, and consortia of such SEAs.</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</si>
  <si>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purpose of the CGSA program is to enhance the quality of assessment instruments and assessment systems used by States for measuring the academic achievement and growth of elementary and secondary school students.  
Assistance Listing Number (ALN) 84.368A.</t>
  </si>
  <si>
    <t>FY24 Tribal Resources Grant Program - Technical Assistance</t>
  </si>
  <si>
    <t>Others (see text field entitled "Additional Information on Eligibility" for clarification) This solicitation is open to all public governmental agencies, federally recognized Indian tribes, for-profit (commercial) organizations, nonprofit organizations, institutions of higher education, community groups, and faith- based organizations.</t>
  </si>
  <si>
    <t>The Office of Community Oriented Policing Services (COPS Office) is the component of the U.S. Department of Justice responsible for advancing the practice of community policing by the nationâ€™s state, local, territorial, and tribal law enforcement agencies through information and grant resources. The Office of Community Oriented Policing Services (COPS Office, https://cops.usdoj.gov) is pleased to announce that it is seeking applications for funding for the FY 24 Tribal Resources Grant Program â€“ Technical Assistance (TRGP-TA) Alaska Tribal Law Enforcement Technical Assistance Project. FY24 TRGP-TA funds will be used to support technical assistance efforts to assist Alaska Tribes with law enforcementâ€“specific needs, including starting law enforcement agencies, developing policies and procedures, addressing jurisdictional challenges, and other needs unique to Alaska Tribes and tribal law enforcement. Program funds will also support the development of a current â€œState of Tribal Law Enforcement in Alaskaâ€ report with an assessment of tribal law enforcement services and needs, challenges, areas of greatest need, and any unique barriers. The assessment will help shape technical assistance offered under the program along with areas for the COPS Office to focus on in future efforts.</t>
  </si>
  <si>
    <t>AFRL FY24 DATA ASSIMILATION CENTER OF EXCELLENCE</t>
  </si>
  <si>
    <t>Others (see text field entitled "Additional Information on Eligibility" for clarification) This DA CoE competition is open only to, and proposals are to be submitted only by, U.S. institutions of higher education (universities) with degree-granting programs in science, technology, engineering, or mathematics. To the extent that it is part of a U.S. institution of higher education and is not designated as a Federally Funded Research and Development Center (FFRDC), a University Affiliated Research Center (UARC) is eligible to submit a proposal to this DA CoE competition. No other entities are eligible to submit applications under this competition. Any entities receiving subawards must meet these same criteria. Historically Black Colleges and Universities and Minority Serving Institutions and Tribal Colleges and Universities are encouraged to submit research proposals and join others in submitting proposals. However, no funds under this announcement are reserved or otherwise set-aside for any specific entity type.</t>
  </si>
  <si>
    <t xml:space="preserve">This Funding Opportunity Announcement (FOA) describes a newly proposed initiative of the Air Force Research Laboratory (AFRL) concerning standing up a University Center of Excellence (CoE) for â€œData Assimilation (DA) Driven by Mathematical Features Representing Physicsâ€ with educational institutions in the United States. The University CoE is defined as a joint effort among multiple technical directorates (TDs) of the Air Force Research Laboratory to include: the Air Force Office of Scientific Research (AFOSR), Aerospace Systems Directorate (RQ), Space Vehicles Directorate (RV), and Munitions Directorate (RW), referred to collectively as â€œwe, our, or us,â€ in this FOA, and an outstanding university or team of universities that will perform high priority unclassified and collaborative basic / applied (6.1/ 6.2) research which addresses the United States Air Force (USAF) and United States Space Force (USSF) research needs in the DA area with relevance to high-speed flows and combustion. </t>
  </si>
  <si>
    <t>NIJ FY24 W.E.B. Du Bois Program of Research on Reducing Racial and Ethnic Disparities in the Justice System</t>
  </si>
  <si>
    <t>With this solicitation, NIJ seeks applications for two categories of investigator-initiated research: (1) studies that examine how observed racial and ethnic disparities in the justice system might be reduced through public policy intervention at any point during the administration of justice and (2) studies that advance knowledge and practice, policy, or both regarding the intersections of race, ethnicity, crime, and justice within the United States.</t>
  </si>
  <si>
    <t>NIJ FY24 Research and Evaluation on Youth Justice Topics</t>
  </si>
  <si>
    <t>Public housing authorities/Indian housing authorities Units of local government</t>
  </si>
  <si>
    <t>With this solicitation, NIJ seeks proposals for rigorous research and evaluation projects that inform policy and practice in the field of youth justice and delinquency prevention. Specifically, this solicitation seeks proposals for studies that advance knowledge and understanding in the following two categories:  1. Youth Justice Reinvestment Studies which evaluate the effectiveness, including cost-effectiveness, of youth justice system reforms and subsequent reinvestments into programs that serve youth in their communities. 2. Prevention and Intervention Program Effectiveness Studies which evaluate the effectiveness of school and community-based prevention and intervention programs.</t>
  </si>
  <si>
    <t>BJA FY24 Emmett Till Cold Case Investigations and Prosecution Program</t>
  </si>
  <si>
    <t>Others (see text field entitled "Additional Information on Eligibility" for clarification) State, local, and tribal law enforcement agencies, including prosecutors  offices</t>
  </si>
  <si>
    <t>With this solicitation, BJA seeks to support state, local, and tribal law enforcement and prosecution agencies, working with their partners, to investigate and prosecute unsolved cold case homicides suspected to have been racially motivated or otherwise associated with civil rights violations.</t>
  </si>
  <si>
    <t>Computer Science for All</t>
  </si>
  <si>
    <t>This program aims to provide all U.S. students with the opportunity to participate in computer science (CS) and computational thinking (CT) education in their schools at the preK-12 levels. With this solicitation, the National Science Foundation (NSF) focuses on both research and research-practice partnerships (RPPs) that foster the research and development needed to bring CS and CT to all schools. Specifically, this solicitation aims to provide (1) high school teacherswith the preparation, professional development (PD) and ongoing support they need to teach rigorous computer science courses; (2) preK-8 teachers with the instructional materials and preparation they need to integrate CS and CT into their teaching; and (3) schools and districtswith the resources needed to define and evaluate multi-grade pathways in CS and CT.</t>
  </si>
  <si>
    <t>Strategies to Improve Health Outcomes and Advance Health Equity in Rural Populations (R01 Clinical Trial Optional)</t>
  </si>
  <si>
    <t>The purpose of this initiative is to support research to improve health and promote health equity in rural populations. Rural populations experience high rates of many causes of morbidity and disability, and high and increasing rates of premature death. Meaningful and sustained improvements in the health of rural populations require effective solutions to address the underlying causes. Applications responding to this Notice of Funding Opportunity (NOFO) should develop, adapt, or implement intervention strategies addressing social determinants of health (SDOH) to improve health and promote health equity in rural populations. This funding opportunity encourages studies that use a wide range of methodological approaches that enhance access to, and acceptability and effectiveness of, interventions in rural populations, such as community-engaged research approaches that build on the strengths of rural communities.</t>
  </si>
  <si>
    <t>Improving Undergraduate STEM Education: Computing in Undergraduate Education</t>
  </si>
  <si>
    <t>Others (see text field entitled "Additional Information on Eligibility" for clarification) *Who May Submit Proposals: Proposals may only be submitted by the following:
  -For-profit organizations: U.S.-based commercial organizations, including small businesses, with strong capabilities in scientific or engineering research or education and a passion for innovation.
  -Non-profit, non-academic organizations: Independent museums, observatories, research laboratories, professional societies and similar organizations located in the U.S. that are directly associated with educational or research activities.
  -State and Local Governments: State educational offices or organizations and local school districts.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t>
  </si>
  <si>
    <t>The Improving Undergraduate STEM Education:Computing in Undergraduate Education (IUSE: CUE) program aims to better prepare a wider, more diverse range of students to collaboratively use computation across a range of contexts and challenging problems. With this solicitation, the National Science Foundation focuses onre-envisioninghow to teach computing effectivelyto a broad group of students,in a scalable manner, with an emphasis on broadening participation of groups who are underrepresented andunderservedby traditional computing courses and careers.</t>
  </si>
  <si>
    <t>U.S. Embassy Gaborone Ambassador s Special Self-Help Fund Program</t>
  </si>
  <si>
    <t>DOS-BWA</t>
  </si>
  <si>
    <t>U.S. Mission to Botswana</t>
  </si>
  <si>
    <t>Others (see text field entitled "Additional Information on Eligibility" for clarification)  Non-Profit Organizations  Schools  Non-Governmental Organizations (NGOs),  Community Based Organizations (CBOs),  Faith Based Organizations (FBOs)  Orphanages  Health Facilities</t>
  </si>
  <si>
    <t xml:space="preserve">This notice is subject to availability of funding. PLEASE SEE ATTACHED FULL NOFO FOR ADDITIONAL INFORMATION. 
PROGRAM DESCRIPTION
The U.S. Embassy Gaborone Bureau of African Affairs of the U.S. Department of State announces an open competition for organizations interested in submitting applications for projects that are community-initiated and involving schools, clinics, co-operatives, associations, training, or community improvement projects. Please follow all instructions below.
PROGRAM OBJECTIVES
The U.S. Ambassadorâ€™s Special Self-Help (SSH) program is a grass-roots assistance program that allows U.S. embassies to respond quickly to local requests for small community-based development projects. This Self-Help fund provides small, short-term grants (one year) to community groups that are working to improve the basic economic and social conditions of their villages or communities.
This notice is subject to availability of funding. 
PLEASE SEE ATTACHED FULL NOFO FOR ADDITIONAL INFORMATION. 
PROGRAM DESCRIPTION
The U.S. Embassy Gaborone Bureau of African Affairs of the U.S. Department of State announces an open competition for organizations interested in submitting applications for projects that are community-initiated and involving schools, clinics, co-operatives, associations, training, or community improvement projects. Please follow all instructions below.
PROGRAM OBJECTIVES
The U.S. Ambassadorâ€™s Special Self-Help (SSH) program is a grass-roots assistance program that allows U.S. embassies to respond quickly to local requests for small community-based development projects. This Self-Help fund provides small, short-term grants (one year) to community groups that are working to improve the basic economic and social conditions of their villages or communities.
Special consideration will be given to projects which:
â€¢ Support high impact, quick implementation activities that benefit a large number of people within one year without requiring further SSH assistance
â€¢ Are within the ability of the local community to operate and maintain
â€¢ Are not in any way initiating, continuing, or supplementing technical assistance programs
â€¢ Are a direct response to the initiative and aspirations of the local community
â€¢ Ensure broadly accessible, reliable, and economically sustainable water and sanitation services for health, security, and prosperity (not issues directly relating to agriculture or household level)
â€¢ Assist special populations which may be vulnerable or at-risk on a temporary or chronic basis such as the disabled, orphans, children and at-risk youth, ethnic minorities, the elderly, female heads of households, or other socially excluded groups
â€¢ Provide social assistance
Conditions
SSH funds be used for:
 Seeds and supplies for agriculture, except for fertilizers, pesticides, herbicides, fungicides
 Water-related projects such as wells, latrines, pumps, boreholes, tanks, and fish ponds
 School equipment and supplies including desks, chairs, laboratory equipment and library items
 Communal construction equipment such as brick-making machines
 Miscellaneous durable goods, e.g. a stove or refrigerator for a school or hospital, or a washing machine for a clinic
 Small construction projects, e.g. construction of classrooms, community centers, etc.
Funding Restrictions
 Remodeling or renovating an existing facility that is in disrepair as a result of neglect or lack of money
 Activities with unmitigated and negative environmental consequences (such as dams or roads through forest lands)
 Purely religious or church projects. However, those that genuinely assist the whole community, without regard to religious affiliation, may be funded
 Military activities (including those relating to police, prisons or other law enforcement activities)
 Purchase of pesticides, fungicides, and herbicides
 Sports equipment or uniforms for a national sports team
 Musical instruments or uniforms for a national orchestra or dance company
 Student bursaries
 Salaries for existing positions
 Ongoing needs for education/training
 Vehicles or tractors
 Office supplies such as pencils, paper, forms and folders
 Office equipment such as computers, fax machines, or photocopiers
 Private businesses
Cost Sharing or Matching
Providing cost sharing, matching, or cost participation is an eligibility factor or requirement for this NOFO. There is a requirement for cost sharing, matching, or cost participation (e.g. funds, material and/or labor) of 10%.
 APPLICATION AND SUBMISSION INFORMATION
Application guidelines can be requested via email, or at the U.S. Embassy Botswana Main Gate.
The U.S. Ambassadorâ€™s Special Self-Help Fund will accept applications from March 05, 2024 until May 17, 2024. Any application that is received after the deadline, is incomplete, or is missing required documentation will be rejected.
Please Note: The Special Projects Office retains the right to ask for additional documents not included in this NOFO.
Additional information that successful applicants must submit after notification of intent to make a Federal Award, but prior to issuance of a Federal award, may include:
 Pre-award site visit;
 Written responses and any revised application documents addressing any conditions or recommendations from the review panel;
 Bank account information; and
 Other requested information or documents discussed during negotiations prior to issuance of a Federal award.
Content and Form of Application Submission
For all application documents, please ensure:
All documents are in English and all costs are in U.S. Dollars. If an original document within the application is in another language, an English translation must be provided (please note the U.S. Department of State, as indicated in 2 CFR 200.111, requires that English is the official language of all award documents). If any document is provided in both English and a foreign language, the English language version is the controlling version;
Please ensure:
 The proposal clearly addresses the goals and objectives of this funding opportunity
 All documents are in English
 All budgets are in U.S. dollars
 All pages are numbered
Complete applications include the following:
 Cover Page: Cover sheet stating the applicant name and organization, proposal date, program title, program period proposed start and end date, and brief purpose of the program.
 Table of Contents
 Proposal Narrative* (not to exceed ten pages). 
The proposal should contain sufficient information that anyone not familiar with it would understand exactly what the applicant wants to do. You may use your own proposal format, but it must include all the items below. The Proposal Narrative must include the following:
 Introduction to the Organization: A description of past and present operations, showing ability to carry out the project, including information on all relevant or similar type projects from previous grants from the U.S. Embassy and/or U.S. Government agencies.
  Program Methods and Design: A description of how the program is expected to work to solve the stated problem and achieve the goal.
 Program Goal: The â€œgoal(s)â€ describe the larger outcome intended
 Program Objectives: The intermediate accomplishments and measurable targets to achieve a goal. Objectives of the program should be SMART:
Specific: Detailed and specifies what will be achieved
Measurable: have associated metrics or measurements of success
Attainable: appropriately challenging, objectives can be reasonably attained give the available resources
Relevant: align with the policy/program goal and appropriate
within the country or beneficiary audience
Time-Bound: achievable within the timeframe of the program
 Program Activities: Describe specific actions taken under each Objective. All activities should be clearly developed and sufficiently explain the resource and time requirements (inputs) and things done or produced (outputs). Activities should detail: target areas, participant groups or selection criteria for participants; how relevant stakeholders will be engaged; and actions taken by local partners as appropriate/relevant.
 Program Management Plan: Describe the proposed management structure for this project. Include a description of the responsibilities of all principal organizations and staff involved, reporting relationships, authority, and lines of communication within and between each of these organizations.
 Program Partners: List the names and type of involvement of key partner organizations and sub-awardees, if applicable.
 Future Funding or Sustainability Applicantâ€™s plan for continuing the program beyond the grant period, or the availability of other resources, if applicable. Include ways program activities will ensure sustainability.
 Risk Analysis* - identify the internal and external risks associated with the proposed project, rate the likelihood of the risks, rate the potential impact of the risks on the project, and identify actions that could help mitigate the risks.
Performance Monitoring   Evaluation Narrative and Plan
Program Monitoring   Evaluation Narrative and Plan: Details how a projectâ€™s performance monitoring and evaluation system will be carried out and by whom. It explains how the projectâ€™s performance toward its objectives will be tracked over time. It should provide a clear description of the approach and data collection strategies and tools to be employed (e.g., pre- and post-test surveys, interviews, focus groups). The description should also include how the applicant will track and document whether activities occurred (outputs) and the results or changes caused by these activities (outcomes). If the project includes work with local partners or sub-partners, explain how performance monitoring and evaluation efforts will be coordinated amongst these organizations. Explain if an external evaluation will be included. Evaluations, internal or external, should be systematic studies that use research methods to address specific questions about project performance. They should provide a valuable supplement to ongoing monitoring activities. Evaluation activities generally include baseline assessments, mid-term and final evaluations.
Timeline: Not to exceed one (1) page, preferably as a Word Document or Excel Sheet. The timeline of the overall proposal should include activities and monitoring and evaluation efforts outlined in either in a monthly or quarterly format.
Detailed Budget: Amount of funding request; costs must be in U.S dollar and estimated in Pula using exchange rate of $1 and not exceeding $10,000.
Budget Justification Narrative: Describe each of the budget expenses in detail. 
Attachments
 Detailed Budget
 Budget Narrative
 CV or Resume of Key Personnel
 Quotations of services, equipment or supplies that award funds will cover costs for
 A copy of your organizationâ€™s constitution.
 A list of committee/board members with their names and addresses.
 A showing how to get to your project from a major road.
 A copy of project bank account details including the name of the bank, account name, account number, and type of account (savings or checking).
 Proof that the project has its own land (in the name of the project) or permission to occupy the land, e.g. signed lease agreement or land deed, for the site where the project will be implemented.
Applications that do not include the elements listed above will be deemed technically ineligible. To ensure that all applications receive a balanced evaluation, the Merit Review Panel will review from the first page of each section up to the page limit and no further.
All prime organizations, whether based in the United States or in another country, must have a Unique Entity Identifier (UEI) and an active registration with SAM.gov before submitting an application. U.S. Embassy Maseru may review applications from or make awards to applicants that have not completed all applicable UEI and SAM.gov requirements. A UEI is one of the data elements mandated by Public Law 109-282, the Federal Funding Accountability and Transparency Act (FFATA), for all Federal awards. 
Note: As of April 2022, a DUNS number is no longer required for federal assistance applications.
Note: The process of obtaining or renewing a SAM.gov registration may take anywhere from 4-8 weeks. Please begin your registration as early as possible.
Organizations based outside of the United States and that do not pay employees within the United States do not need an EIN from the IRS but do need a UEI number prior to registering in SAM.gov. Proceed to SAM.gov to obtain a UEI and complete the SAM.gov registration process. SAM.gov registration must be renewed annually. 
 </t>
  </si>
  <si>
    <t>Artificial Intelligence, Formal Methods, and Mathematical Reasoning</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</si>
  <si>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
 Institutions of Higher Education (IHEs) - Two- and four-year IHEs (including community colleges) accredited in, and having a campus located in the US, acting on behalf of their faculty members. 
*Who May Serve as PI:
As of the date the proposal is submitted, any PI, co-PI, or senior/key personnel must hold either:
_x000D_
  a tenured or tenure-track position,or
_x000D_
  a primary, full-time, paid appointment in a research or teaching position
_x000D_
at a US-based campus of an organization eligible to submit to this solicitation (see above), with exceptions granted for family or medical leave, as determined by the submitting organization. Individuals withprimaryappointments at for-profit non-academic organizations or at overseas branch campuses of U.S. institutions of higher education are not eligible.</t>
  </si>
  <si>
    <t>The Artificial Intelligence, Formal Methods, and Mathematical Reasoning (AIMing) program seeks tosupport research at the interface of innovative computational and artificial intelligence (AI) technologies and new strategies/technologies in mathematical reasoning to automate knowledge discovery. Mathematical reasoning is a central ability of human intelligence that plays an important role in knowledge discovery. In the last decades, both the mathematics and computer science communities have contributed to research in machine-assisted mathematical reasoning, encompassing conjecture, proof, and verification. This has been in the form of both formal methods and interactive theorem provers, as well as using techniques from artificial intelligence. Recent technological advances have led to a surge of interest in machine-assisted mathematical reasoning from the mathematical sciences, formal methods, and AI communities. In turn, advances in this field have potential impact on research in AI.</t>
  </si>
  <si>
    <t>Leveraging Data at Scale to Understand Natural Product Impacts on Whole Person Health (R01 Clinical Trial Not Allowed)</t>
  </si>
  <si>
    <t>This notice of funding opportunity (NOFO) will support development, adaptation, and/or applications of computational tools to aggregate and analyze orthogonal chemical and/or biological data sets related to natural products with the aim of generating novel testable hypotheses regarding their biological activity and role in the context of whole person health research.  Projects must leverage and merge multiple compatible or interoperable sources and/or types of data.  Use of artificial intelligence and machine learning approaches is encouraged.  This NOFO is part of the Consortium Advancing Research on Botanicals and Other Natural Products (CARBON) Program.  Other components of this Program include the Botanical Dietary Supplements Translational Research Teams (RM1) and Limited Competition: Research Resource for Natural Product Nuclear Magnetic Resonance Data (R24).</t>
  </si>
  <si>
    <t>Community Level Innovations for Improving Health Outcomes</t>
  </si>
  <si>
    <t>HHS-OPHS</t>
  </si>
  <si>
    <t>Office of the Assistant Secretary for Health</t>
  </si>
  <si>
    <t>The Office of Minority Health announces the anticipated availability of funds for Fiscal Year (FY) 2024 under the authority of 42 U.S.C. Â§ 300u-6 (Section 1707 of the Public Health Service Act).This notice solicits applications for projects to demonstrate that community level innovations that reduce barriers related to social determinants of health (SDOH) can increase use of preventive health services and make progress toward Leading Health Indicator (LHI) targets. LHIs are a subset of high priority Healthy People 2030 (HP2030) objectives selected to drive action toward improving health and well-being. SDOH are described in HP2030 as conditions in the environments where people are born, live, learn, work, play, worship, and age that affect a wide range of health, functioning, and quality-of-life outcomes and risks.We anticipate the availability of $8,000,000 for up to 14 awards, ranging from $475,000 to $600,000 annually, for a period of performance of up to 48 months. Recipients will be required to report on progress and milestones as part of an annual noncompeting continuation application. Costs of medical services are unallowable under this funding opportunity. Early in the fourth budget period, we anticipate offering a competing continuation opportunity for an additional 12-month budget period (i.e., a fifth budget period) to support selected successful projects in their transition to sustainability. Funding available for the additional budget period is not guaranteed nor expected to be at the same level of previous budget periods. The Office of the Assistant Secretary for Health (OASH) Grants and Acquisitions Management Division (GAM) will administratively support this competition. GAM encourages all applicants to review all program requirements, eligibility information, application format and submission information, evaluation criteria, and other information in this notice to ensure that applications comply with all requirements and instructions.</t>
  </si>
  <si>
    <t>NIJ FY24 Research and Evaluation of Policing Practices</t>
  </si>
  <si>
    <t>With this solicitation, NIJ seeks rigorous, applied evaluative research on: (1) police training; (2) police accountability policies and practices; (3) investigative practices to enhance clearance rates; and (4) police officer health and wellness programs.</t>
  </si>
  <si>
    <t>ROSES 2024: F.7 Support for Open-Source Tools, Frameworks, and Libraries</t>
  </si>
  <si>
    <t xml:space="preserve">Please note that this program requests optional Notices of Intent, which are due via NSPIRES by May 3,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</si>
  <si>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Bipartisan Infrastructure Law (BIL): Resilient and Efficient Codes Implementation (RECI)</t>
  </si>
  <si>
    <t>The U.S. Department of Energyâ€™s (DOE) Office of Energy Efficiency and Renewable Energy (EERE) Building Technologies Office (BTO) is issuing this Funding Opportunity Announcement (FOA) titled Bipartisan Infrastructure Law (BIL): Resilient and Efficient Codes Implementation (RECI). The current FOA represents the second installment in the RECI initiative, which maintains the same broad format, flexibility, and crosscutting areas of interest, while emphasizing and prioritizing specific gaps, needs, and opportunities to support building energy codes identified as focal points through the first RECI FOA and continued stakeholder engagement._x000D_
_x000D_
The activities to be funded under the FOA support the BIL, as well as a broader government-wide approach to advance building codes and support their successful implementation. The primary focus centers around updating to more efficient building energy codes that save money for American homes and businesses, reduce greenhouse gas (GHG) emissions, and encourage more resilient buildings._x000D_
_x000D_
This FOA includes one topic area broadly focused on the cost-effective implementation of updated energy codes.</t>
  </si>
  <si>
    <t>Preservation and Access Education and Training</t>
  </si>
  <si>
    <t>Private institutions of higher education See C. Eligibility in the Notice of Funding Opportunity for more information.</t>
  </si>
  <si>
    <t>The National Endowment for the Humanities (NEH) Division of Preservation and Access is accepting applications for the Preservation and Access Education and Training program. This program supports training that develops knowledge and skills among professionals responsible for preserving and establishing access to humanities collections. NEH will issue awards to organizations that offer national, regional, or statewide education and training programs that provide staff of cultural institutions with the knowledge and skills they need to serve as effective stewards of humanities collections.</t>
  </si>
  <si>
    <t>2024 Southeast New England Program (SNEP) Opportunity to Advance Resilience (SOAR) Fund</t>
  </si>
  <si>
    <t>Led by EPA Region 1, the Southeast New England Program (SNEP) is a geographically based program intended to serve as a collaborative framework for advancing ecosystem and community resiliency, protecting, and restoring water quality, habitat, and ecosystem function, and developing and applying innovative policy, science, and technology to environmental management. The program was created to help communities, Tribes, municipalities, government agencies and private organizations improve ecosystem health and build resilience to the unique water quality, habitat and climate stressors faced within southeast coastal New England watersheds, recognizing that the regionâ€™s economy and community health are vulnerable and directly tied to the health of its ecological systems.The Mission of the SOAR Fund is to improve and support the resilience of disadvantaged communities throughout the SNEP region with meaningful community involvement as it relates to the design and implementation of projects to address the anticipated effects of climate change and the historic, long-term impacts of environmental and social injustices. Through this initiative, SNEP plans to fund a host of planning, implementation, outreach, training, capacity, and staff-building projects that correspond with the goals, objectives and priorities outlined in SNEPâ€™s Five-Year Strategic Plan.</t>
  </si>
  <si>
    <t>STEWARDSHIP SCIENCE ACADEMIC ALLIANCES PROGRAM</t>
  </si>
  <si>
    <t>DOE-NNSA</t>
  </si>
  <si>
    <t>NNSA</t>
  </si>
  <si>
    <t>Public and State controlled institutions of higher education Nonprofits having a 501(c)(3) status with the IRS, other than institutions of higher education</t>
  </si>
  <si>
    <t>The Department of Energyâ€™s (DOE), National Nuclear Security Administrationâ€™s (NNSA) Office of Defense Programs, directs research and development activities to maintain the safety, security, and effectiveness of the nationâ€™s nuclear weapons stockpile. This nuclear deterrent remains a vital part of our national security infrastructure. It maintains strategic stability, deters potential adversaries, and reassures our allies and partners of our security commitments. Since 1992, the United States has observed the moratorium on underground nuclear testing while significantly decreasing the size of its nuclear arsenal. National Policy required NNSA and its weapons laboratories to institute the science-based Stockpile Stewardship Program (SSP) to ensure the safety, security, and effectiveness of the stockpile, while allowing the country to pursue a variety of nonproliferation and disarmament goals. The SSP combines sophisticated experiments, highly accurate physics modeling, and improved computational power to simulate and predict nuclear weapon performance over a wide range of conditions and scenarios.
The Stewardship Science Academic Alliances (SSAA) Program was established in 2002 to support state-of-the-art research at U.S. academic institutions in areas of fundamental physical science and technology of relevance to the SSP mission. The SSAA Program provides the research experience necessary to maintain a cadre of trained scientists and engineers at U.S. universities to meet the nationâ€™s current and future SSP needs, with a focus on those areas not supported by other federal agencies. It supports the DOE/NNSAâ€™s priorities both to address the workforce specific needs in science, technology, engineering, and mathematics and to support the next generation of professionals who will meet those needs.
The Office of Defense Programs announce their interest in receiving applications for new or renewal financial assistance awards for research grants in the SSAA Program. Researchers seeking renewals of their current SSAA grant should apply to this NOFO. The research areas of interest in the SSAA Program for this announcement are properties of materials under extreme conditions and material processing, low energy nuclear science, and radiochemistry.
Questions regarding the content of the announcement must be submitted through the FedConnect portal. You must register with FedConnect FedConnect - Gateway to Government Opportunities (test instance) to respond as an interested party to submit questions, and to view responses to questions. It is recommended that you register as soon after release of the NOFO as possible to have the benefit of all responses. DOE/NNSA will try to respond to a question within 3 business days unless a similar question and answer have already been posted on the website. All applications must be submitted through Grant.gov.
Questions and comments concerning this NOFO shall be submitted not later than 5 calendar days prior to the application due date. Questions submitted after that date may not allow the Government sufficient time to respond.
Questions relating to the registration process, system requirements, how an application form works, or the submittal process must be directed to Grants.gov at 1-800-518-4726 or support@grants.gov. DOE/NNSA cannot answer these questions.
Name: Kristee Hall, Grants Management Specialist
Via: https://www.fedconnect.net/FedConnect/default.htm
SSAA Program Contact: Terri Stone via: terri.stone@nnsa.doe.gov</t>
  </si>
  <si>
    <t>Office of Elementary and Secondary Education (OESE): Office of Safe and Supportive Schools: School-Based Mental Health Services (SBMH) Grant Program, Assistance Listing Number (ALN) number 84.184H</t>
  </si>
  <si>
    <t>Others (see text field entitled "Additional Information on Eligibility" for clarification) 1.  Eligible Applicants:  SEAs, as defined in 20 U.S.C. 7801(49), or LEAs, as defined in 20 U.S.C. 7801(30), including consortia of LEAs.</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</si>
  <si>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SBMH program provides competitive grants to State educational agencies (SEAs) (as defined in 20 U.S.C. 7801(30)), local educational agencies (LEAs) (as defined in 20 U.S.C. 7801(49), and consortia of LEAs to increase the number of credentialed (as defined in this document) school-based mental health services providers (as defined in 20 U.S.C. 7112(6)) providing mental health services to students in LEAs with demonstrated need (as defined in this document). 
Assistance Listing Number (ALN) 84.184H.</t>
  </si>
  <si>
    <t>Office of Elementary and Secondary Education (OESE): Office of Safe and Supportive Schools: Mental Health Service Professional (MHSP) Demonstration Grant Program, Assistance Listing Number 84.184X</t>
  </si>
  <si>
    <t>Others (see text field entitled "Additional Information on Eligibility" for clarification) 1.  Eligible Applicants:  High-need LEAs, SEAs on behalf of one or more high-need LEAs, and IHEs.  High-need LEA applicants and SEA applicants on behalf of one or more high-need LEAs must propose to work in partnership with an eligible IHE, which may include institutions that serve diverse learners such as an HBCU (as defined in 34 CFR 608.2), TCU (as defined in section 316(b)(3) of the HEA), or other MSI (as defined in sections 316 through 320 of part A of title III, under part B of title III, or under title V of the HEA).  Eligible IHE applicants must propose to work in partnership with one or more high-need LEAs or a SEA.</t>
  </si>
  <si>
    <t xml:space="preserve">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Revised Common Instructions for Applicants to Department of Education Discretionary Grant Programs, published in the Federal Register on December 7, 2022. 
Purpose of Program: The MHSP Program provides competitive grants to support and demonstrate innovative partnerships to train school-based mental health services providers (as defined in section 4102 of the Elementary and Secondary Education Act of 1965, as amended (ESEA)) (services providers) for employment in schools and local educational agencies (LEAs). The goal of this program is to increase the number and diversity of high-quality, trained providers available to address the shortages of mental health services professionals in schools served by high-need LEAs (as defined in this notice). The partnerships must include (1) one or more high-need LEAs or a State educational agency (SEA) on behalf of one or more high-need LEAs and (2) one or more eligible institutions of higher education (eligible IHE) (as defined in this notice).  
Partnerships must provide opportunities to place postsecondary education graduate students in school-based mental health fields into high-need schools (as defined in this notice) served by the participating high-need LEAs to complete required field work, credit hours, internships, or related training, as applicable, for the degree or credential program of each student. In addition to the placement of graduate students, grantees may also develop mental health career pathways as early as secondary school, through career and technical education opportunities, or through paraprofessional support degree programs at local community or technical colleges.  
Assistance Listing Number (ALN) 84.184X. 
 </t>
  </si>
  <si>
    <t>University Leadership Initiative (ULI)</t>
  </si>
  <si>
    <t>Amendment 2 to the NASA ARMD Research Opportunities in Aeronautics (ROA) 2024 NRA has been posted on the NSPIRES web site. University Leadership Initiative (ULI) provides the opportunity for university teams to exercise technical and organizational leadership in proposing unique technical challenges in aeronautics, defining multi-disciplinary solutions, establishing peer review mechanisms, and applying innovative teaming strategies to strengthen the research impact.Research proposals are sought in six ULI topic areas in Appendix D.4.Topic 1: Safe, Efficient Growth in Global Operations (Strategic Thrust 1)Topic 2: Innovation in Commercial High-Speed Aircraft (Strategic Thrust 2)Topic 3: Ultra-Efficient Subsonic Transports (Strategic Thrust 3) Topic 4: Safe, Quiet, and Affordable Vertical Lift Air Vehicles (Strategic Thrust 4)Topic 5: In-Time System-Wide Safety Assurance (Strategic Thrust 5)Topic 6: Assured Autonomy for Aviation Transformation (Strategic Thrust 6)This NRA will utilize a two-step proposal submission and evaluation process. The initial step is a short mandatory Step-A proposal due May 29, 2024. Those offerors submitting the most highly rated Step-A proposals will be invited to submit a Step-B proposal. All proposals must be submitted electronically through NSPIRES at https://nspires.nasaprs.com.An Applicantâ€™s Workshop will be held on Thursday Apr 3, 2024; 1:00-3:00 p.m. ET (https://uli.arc.nasa.gov/applicants-workshops/workshop8).An interested partners list for this ULI is at https://uli.arc.nasa.gov/partners. To be listed as an interested lead or partner, please send electronic mail to hq-univpartnerships@mail.nasa.gov with "ULI Partnerships" in the subject line and include the information required for the table in that web page.</t>
  </si>
  <si>
    <t>Impact of Comorbidities and Co-Infections on HIV Reservoirs (R01 Clinical Trial Not Allowed)</t>
  </si>
  <si>
    <t>This Notice of Funding Opportunity (NOFO) seeks to foster new multi-disciplinary teams to address how HIV Comorbidities and co-infections within the missions of NIDDK and NIAID interact with viral reservoirs, potentially confounding cure strategies aimed at either sustained viral suppression or elimination from the body. These teams will mechanistically interrogate the impact of inflammation, metabolic perturbations, or other pathophysiological processes associated with these comorbidities or co-infections on reservoir dynamics, and/or the interplay of these conditions and co-infections on HIV reservoir biology in ways that are likely to interact with potential cure strategies.</t>
  </si>
  <si>
    <t>Research and Development</t>
  </si>
  <si>
    <t>County governments See C. Eligibility in the Notice of Funding Opportunity.</t>
  </si>
  <si>
    <t>The National Endowment for the Humanities (NEH) Division of Preservation and Access is accepting applications for the Research and Development program. This program supports projects that address major challenges in preserving or providing access to humanities collections and resources. Research and Development offers two funding tiers to address projects at all stages of development and implementation.</t>
  </si>
  <si>
    <t>Clean Ports Program: Zero-Emission Technology Deployment Competition</t>
  </si>
  <si>
    <t xml:space="preserve">The EPA Office of Transportation and Air Quality (OTAQ) is issuing this NOFO to announce the availability of funds and solicit applications from eligible entities to help ports nationwide transition to zero-emission (ZE) operations under the EPAâ€™s Clean Ports Program. The EPAâ€™s Clean Ports Program will fund ZE port equipment and infrastructure to reduce mobile source emissions (criteria pollutants, air toxics, and/or greenhouse gases) at United States ports, delivering cleaner air for communities across the country. The Clean Ports Program will also fund climate and air quality planning activities as part of a separate NOFO â€“ including emissions inventories, strategy analysis, community engagement, and resiliency measure identification â€“ that will build the capacity of port stakeholders to continue to reduce pollution and transition to ZE operations over time. This new funding opportunity, made possible by funding from the Inflation Reduction Act, builds on the EPAâ€™s Ports Initiative, an ongoing program that helps our nationâ€™s ports, a critical part of our infrastructure and supply chain, address public health and environmental impacts on surrounding communities. </t>
  </si>
  <si>
    <t>Clean Ports Program: Climate and Air Quality Planning Competition</t>
  </si>
  <si>
    <t>Others (see text field entitled "Additional Information on Eligibility" for clarification) See Section III of Notice of Funding Opportunity for eligibility information</t>
  </si>
  <si>
    <t>The EPA Office of Transportation and Air Quality (OTAQ) is issuing this NOFO to announce the availability of funds and solicit applications from eligible entities to conduct climate and air quality planning activities under the EPAâ€™s Clean Ports Program. The EPAâ€™s Clean Ports Program will fund climate and air quality planning activities at United States ports â€“ including emissions inventories, strategy analysis, community engagement, and resiliency measure identification â€“ that will build the capacity of port stakeholders to continue to reduce pollution and transition to zero-emissions (ZE) operations over time. The Clean Ports Program will also fund ZE port equipment and infrastructure as part of a separate NOFO to reduce mobile source emissions (criteria pollutants, air toxics, and/or greenhouse gases) at United States ports, delivering cleaner air for communities across the country. This new funding opportunity, made possible by funding from the Inflation Reduction Act, builds on the EPAâ€™s Ports Initiative, an ongoing program that helps our nationâ€™s ports, a critical part of our infrastructure and supply chain, address public health and environmental impacts on surrounding communities.</t>
  </si>
  <si>
    <t>Preservation and Reinvestment Initiative for Community Enhancement (PRICE) Competition</t>
  </si>
  <si>
    <t>State governments Other eligible applicants include multi-jurisdictional entities, metropolitan planning organizations, resident-controlled MHCs, cooperatives, non-profit entities (including consortia of non-profit entities), CDFIs, Tribal Applicants, and entities that partner with one or several residents of such eligible communities or that propose to implement a grant program that would assist residents of such eligible communities. Applicants must have a valid Universal Entity Identifier (UEI) from www.sam.gov/. Registration for SAM and Grants.gov is a multi-step process and can take four (4) weeks or longer to complete if data issues arise. Applicants without a valid registration cannot apply through Grants.gov. Complete registration instructions and guidance are provided on Grants.gov. Eligible applicants may also support or partner with residents of Colonias. Among the eligible applicants listed, both current and prospective CDBG and ICDBG recipients are encouraged to apply. Refer to the Program Definitions in Section I.A.4. to review how these terms are defined in the PRICE competition.  Individuals, foreign entities, and sole proprietorship organizations are not eligible to compete for, or receive, awards made under this announcement.</t>
  </si>
  <si>
    <t>More than 22 million Americans currently live in manufactured housing.[1] Manufactured housing units account for approximately seven percent of occupied housing stock nationwide and fifteen percent in rural areas.[2]  Manufactured housing is also the largest source of unsubsidized affordable housing in the country, making it a crucial piece of the nationâ€™s affordable housing stock.[3]  The median household income of manufactured housing unit owners is about half the median household income of site-built homeowners [4].Manufactured housing can be permanently affixed to the lot underneath or be affixed to a support and anchoring system that allows the home to be relocated more easily. Manufactured housing is subject to HUD certification requirements pursuant to the regulations set forth in 24 CFR part 3282 (Manufactured Home Procedural and Enforcement Regulation) and the Manufactured Home Construction and Safety Standards set forth in 24 CFR 3280 (see the definition of manufactured housing in 24 CFR 3280.2).There are many significant challenges that may impact housing stability for those that live in manufactured homes. Despite perceptions of manufactured housing as â€œmobile,â€ manufactured housing can be very expensive and complicated to move, and more than 90% of manufactured homes do not move after the initial installation.[5]  This can present a significant challenge for owners of manufactured homes who do not own the lot underneath their unit (referred to as â€œhomesite rentersâ€ for the purposes of this NOFO). For some manufactured homeowners that rent a lot in a manufactured housing community (MHC), there is the potential for landowners or investors to increase lot rents, forcing homesite renters to make a difficult decision: pay to move their home, pay the increased rent, or leave their valuable asset.Due to state titling laws, many prospective homeowners looking to purchase a manufactured home may have no option but to finance their home with personal property or â€œchattelâ€ loans, which often have higher interest rates than typical real property mortgages â€“ even in situations where they may own the lot their home sits on. Many older manufactured homes require repairs or enhancements to make them livable and suitable to their environment, or they are sited in hazard prone areas. Meanwhile, nearly a third of households living in manufactured housing are headed by an elderly individual, and manufactured housing households have a higher prevalence of a significant disability.[6]  These vulnerable populations need access to infrastructure and amenities that are often unavailable for residents of manufactured housing. The infrastructure serving manufactured housing communities is often self-operated, not built to high standards and has become increasingly stressed by deferred maintenance and extreme climate and weather events.[7]HUD is issuing the Preservation and Reinvestment Initiative for Community Enhancement (PRICE) competition NOFO to preserve long-term housing affordability for residents of manufactured housing or an MHC, to redevelop MHCs, and to primarily benefit low- and moderate-income (LMI) residents. This NOFO is authorized by the Consolidated Appropriations Act, 2023 (Public Law 117-328, approved December 29, 2022). Congress appropriated $225 million for competitive grants to preserve and revitalize manufactured housing and eligible manufactured housing communities and directed HUD to undertake a competition under title I of the Housing and Community Development Act of 1974, as amended (42 U.S.C. 5301 et seq.). Of the $225 million available, $200 million is reserved for the main PRICE competition, of which at least $10 million is intended for Indian tribes or Tribally Designated Housing Entities and Tribal organizations designated by such Indian tribes (hereinafter referred to as â€œTribal Applicantsâ€), and $25 million is reserved for a pilot program to assist in the redevelopment of manufactured communities as replacement housing that is affordable. The minimum grant request for the main PRICE competition is $5 million for all applicants, except Tribal Applicants. Tribal Applicants may request a minimum of $500,000 for the main competition. The minimum grant request for the PRICE pilot is $5 million.HUD has six goals for this competition:Fairly and effectively award the PRICE grant funding and related technical assistance.Increase housing supply and affordability for LMI persons nationwide, including in urban, suburban, rural, and tribal areas.Preserve and revitalize existing manufactured housing and manufactured housing communities.Increase resilience to extreme weather, natural hazards, and disaster events, support energy efficiency, and protect the health and safety of manufactured housing residents.Promote homeownership opportunities and advance resident-controlled sustainable communities through new and revitalized units of manufactured housing that will remain affordable.Support accessibility modifications, repairs, and replacement of deteriorating manufactured housing units â€“ especially to increase accessibility and access for persons with disabilities, facilitate aging in place for older adults and increase access to affordable housing for low-income households.Successful proposals will:Demonstrate a compelling need for the preservation and revitalization of manufactured housing or MHCs;Evaluate how manufactured housing and MHCs contribute to the local affordable housing stock and what resources are needed to rehabilitate or replace existing units and MHCs;Prioritize equity and affirmatively further fair housing by demonstrating a commitment and ability to identify and remove barriers to: 1) expanding access to affordable housing in a manner that promotes desegregation, and 2) expanding access to affordable housing for protected class groups, for example, by addressing the lack of physically accessible manufactured homes in accordance with Section 504 of the Rehabilitation Act of 1973 (29 U.S.C. 794) and implementing regulations at 24 CFR part 8, or by addressing policies preventing the rehabilitation of manufactured housing communities, deteriorating infrastructure, and lack of resources to support owners and residents of manufactured housing units.Engage a broad and inclusive stakeholder group, including residents of MHCs;Utilize strategies to reduce the impacts of environmental hazards and extreme weather;Increase community resilience, especially when reconstruction, relocation, or mitigation are involved; and,Ensure long-term housing availability, accessibility, and affordability for LMI households.Proposals may include the preservation and revitalization of manufactured housing units or MHCs at one or multiple sites and may span multiple jurisdictions. HUD seeks to preserve and revitalize manufactured housing units or communities in both urban and rural areas, as well as on Tribal lands and in disaster-prone communities. Eligible revitalization activities are broad and may include infrastructure or housing (and other eligible activities). HUD is instituting a requirement that all manufactured housing units receiving PRICE assistance must be maintained as affordable for a minimum period. Pursuant to title I of the Housing and Community Development Act of 1974, as amended (42 U.S.C. 5301 et seq.), proposals may include, but are not limited to, the following eligible uses:Development or improvement of infrastructure that supports new or existing MHCs and/or manufactured housing units, including roads, sidewalks, water, and wastewater infrastructure including well and septic systems, and utility hookups;Environmental improvements such as remediation of contaminants in land servicing MHCs;Repair, rehabilitation, or replacement of existing manufactured housing units (pre-1976 units, which were referred to as mobile homes, may only be replaced. PRICE funds may not be used for their repair or rehabilitation);Planning activities around MHCs, including functional or implementation plans for land use or zoning changes to be more permissive of manufactured housing units or communities;Resident and community services, including relocation assistance (which may include moving manufactured housing units) and eviction prevention;Resilience activities, which include the reconstruction, repair, or replacement of manufactured housing and MHCs, as well as that for infrastructure serving MHCs, to enhance their safety and stability in the face of natural hazards such as, but not limited to, wildfires, earthquakes, tornados, extreme heat, and flooding, and to mitigate known hazards and the rising threat that extreme weather events present to manufactured housing due to climate change, except that for pre-1976 mobile homes, funds made available under resilience activities may be used only for replacement; or,Assisting manufactured housing renters or homesite renters with land and site acquisition.A portion of funds are reserved for PRICE pilot awards that may be used for the following:Redevelopment of MHCs as affordable replacement housing. Note that for each unit of single-family manufactured housing (including pre-1976 mobile homes) replaced under the project, up to four dwelling units of such affordable housing must be provided; or,Relocation assistance, buy-outs, or down payment assistance for residents.Manufactured Housing BackgroundManufactured homes are safe, quality housing and an affordable alternative often indistinguishable from site-built homes. Built in factories, the per square foot cost of producing a manufactured home is generally less than half the cost of constructing comparable site-built, single-family detached homes.[8]  The lower production costs pass through to consumers as the purchase price and monthly costs of manufactured homes are generally less than half that of site-built homes. These lower costs provide an avenue to affordable homeownership options for LMI residents. With a large and growing shortage of affordable and physically accessible housing in the United States, manufactured housing can provide more rental and ownership options for LMI persons.The benefits and affordability of manufactured housing also apply to homes built on Tribal lands. About seventeen percent of households on Tribal land live in manufactured housing.[9]  With approximately 68,000 new units needed to eliminate  housing overcrowding in Tribal areas alone, more manufactured housing could help alleviate an acute housing shortage for the American Indian/Alaska Native population and assist to replace severely physically inadequate units.On June 22, 2023, HUD issued a Dear Tribal Leader letter soliciting Tribal feedback on manufacturing housing needs in Indian Country. Additionally, manufactured housing was also discussed at HUDâ€™s inaugural Tribal Intergovernmental Advisory Committee (TIAC) meeting in April 2023, and Tribal representatives provided HUD feedback and recommendations. HUD received over seventy-four comments from more than ten respondents during Tribal consultation. HUD thanks all the respondents that provided Tribal feedback. This NOFO was developed in accordance with HUDâ€™s Tribal consultation policy and incorporates feedback from Tribal leaders.A manufactured home is built to HUDâ€™s Manufactured Home Construction and Safety Standards (â€œHUD Codeâ€, 24 CFR part 3280), which are federal standards for the design and construction of manufactured homes to assure quality, durability, safety, and affordability. HUD was authorized to establish this code by the National Manufactured Housing Construction and Safety Standards Act of 1974. Since then, Congress and HUD have advanced the manufactured housing regulatory framework (including rounds of improvements to the HUD Code for manufactured housing beginning in 1976, and minimum installation standards promulgated in 2007 (24 CFR part 3285) and continual updates including the more recently published updates to The Manufactured Home Construction and Safety Standards, 3rd set Final Rule (effective July 12, 2021)).Manufactured Housing StatisticsSite built homes average $167.87 per square foot while manufactured homes average $85.00 per square foot.[10]About 40 percent of manufactured homeowners rent the lot where their home is located. They typically rent individual plots of land, known as lots or pads, in MHCs owned and managed by a for-profit operator. Less commonly, borrowers may place the unit on someone elseâ€™s land (such as that belonging to a family member) without making payment, rent the land from a non-profit or government entity, or own the land indirectly, such as participating in a resident-controlled cooperative.[11]Freddie Mac estimates that there are 1,065 resident owned communities, constituting 2.4% of the 45,600 MHCs estimated to be operating in the U.S.[12]The U.S. Census Bureau estimates that 112,882 manufactured housing units were shipped across the country in 2022 â€“ a number that has grown consistently since the market collapse in 2009.[13]New manufactured homes can be built to replace both aging manufactured homes as well as site-built housing stock. More than half of the overall U.S. housing stock is more than 42 years old and a quarter is more than 62 years old.[14]Manufactured housing has the potential to be an even more significant source of unsubsidized affordable housing than it is today. The Biden-Harris Administrationâ€™s Housing Supply Action Plan promotes the development of more attractive or low-cost financing for manufactured homes to increase the U.S. affordable housing supply.[15][1] Urban Institute. Retrieved from 22 Million Renters and Owners of Manufactured Homes Are Mostly Left Out of Pandemic Assistance | Urban Institute on September 15, 2023.[2] Urban Institute. Retrieved from 22 Million Renters and Owners of Manufactured Homes Are Mostly Left Out of Pandemic Assistance | Urban Institute on September 15, 2023.[3] Consumer Financial Protection Bureau. Retrieved from https://files.consumerfinance.gov/f/documents/cfpb_manufactured-housing-finance-new-insights-hmda_report_2021-05.pdf on September 15, 2023.[4] Fannie Mae. Retrieved from Manufactured Housing and Manufactured Homes Landscape| Fannie Mae on October 5, 2023.[5] Mobile Home Living. Retrieved from 4 Things To Consider Before Moving A Manufactured Home â€¢ Mobile Home Living on July 17, 2023.[6] Consumer Financial Protection Bureau. Retrieved from Data Spotlight: Profiles of older adults living in mobile homes | Consumer Financial Protection Bureau (consumerfinance.gov) on September 8, 2023.[7] American Planning Association. Retrieved from Potential of Manufactured Housing and Resident-Owned Communities (planning.org) on September 15, 2023.[8] Urban Institute. Retrieved from How Manufactured Housing Can Fill Affordable Housing Gaps | Housing Matters (urban.org) on September 15, 2023.[9] The Center for Indian Country Development (CICD) at the Federal Reserve Bank of Minneapolis. Retrieved from The Tribal Leaders Handbook on Homeownership on July 17, 2023.[10] Manufactured Housing Institute. Retrieved from About Manufactured Homes - MHI (manufacturedhousing.org) on October 19, 2023.[11] Enterprise Community Partners. Retrieved from Supporting Manufactured Home Communities | Enterprise Community Partners on July 17, 2023.[12] Freddie Mac. Retrieved from Freddie Mac: Manufactured Housing Residents Face Challenges in Establishing Resident-Owned Communities | Freddie Mac (gcs-web.com) on July 17, 2023.[13] The Census Bureau. Retrieved from https://www2.census.gov/programs-surveys/mhs/tables/time-series/annual_shipmentstostates.xlsx on October 19, 2023.[14] Urban Institute. Retrieved from The Role of Manufactured Housing (urban.org) on July 17, 2023.[15] The White House. Retrieved from President Biden Announces New Actions to Ease the Burden of Housing Costs | The White House on July 17, 2023.</t>
  </si>
  <si>
    <t>FY2024 CHIPS R D National Advanced Packaging Manufacturing Program (NAPMP) Materials   Substrates</t>
  </si>
  <si>
    <t>Others (see text field entitled "Additional Information on Eligibility" for clarification) Eligible applicants include domestic for-profit and non-profit organizations; accredited domestic institutions of higher education including community and technical colleges; and state, local, territorial, and Indian tribal governments. Eligible applicants may only submit one full application under this NOFO. Entities may not be included as subrecipients on more than two applications.</t>
  </si>
  <si>
    <t>The CHIPS Research and Development Program (CHIPS R D) aims to advance the development of semiconductor technologies and to enhance the competitiveness of the U.S. semiconductor industry. This is the first Notice of Funding Opportunity under this program. It seeks applications for new research and development (R D) activities to establish and accelerate domestic capacity for advanced packaging substrates and substrate materials, a key technology for producing microelectronics systems.</t>
  </si>
  <si>
    <t>2024 Ambassador s Special Self-Help Program</t>
  </si>
  <si>
    <t>Others (see text field entitled "Additional Information on Eligibility" for clarification)   Non-governmental, not-for-profit organizations legally registered in Nigeria_x000D_
  Established, local, grassroots groups legally registered in Nigeria_x000D_
  The Ambassador s Special Self-Help Program will only accept proposals from non-governmental, not-for-profit organizations registered on the federal or state level in Nigeria that work directly with communities._x000D_
  Strong preference will be given to established, local, grassroots groups based within the communities where the projects are implemented._x000D_
  Groups that have been funded through the Ambassador s Special-Self Help program in the past are not eligible._x000D_
  For-profit, commercial entities and private businesses are not eligible._x000D_
  Individuals are not eligible.</t>
  </si>
  <si>
    <t xml:space="preserve">PROGRAM DESCRIPTION BELOW. FOR APPLICATION INSTRUCTIONS VIEW THE FULL NOTICE OF FUNDING OPPORTUNITY LINKED BELOW
PROGRAM DESCRIPTION
 The U.S. Embassy Abuja announces an open competition for organizations to submit proposals to carry out projects through the Ambassadorâ€™s Special Self-Help (ASSH) Small Grants Program.
Program Objectives:
ASSH is a grassroots grant assistance program that provides modest grants for small scale community development activities that improve living conditions. The program is intended to be flexible and allow the Ambassador to respond directly to requests from local communities for assistance with projects that have immediate impact, and further Mission priorities. ASSH is structured to encourage communities to be self-reliant and undertake similar activities on their own in the future. The U.S. contribution will be a set amount on a one-time basis only.
PROJECT OBJECTIVES:
Economic diversification and creation of opportunities
Projects that generate sustainable revenue and create employment opportunities in local communities benefiting these beyond individual group members. Projects should advance economic diversification at the grassroots level and promote a culture of entrepreneurship, including women-led entrepreneurship and innovation that can be replicated locally. Projects should encourage the use of locally sourced natural resources for income generation through
diversified agricultural practices.
Social inclusion and services
Projects that aim to improve the lives of vulnerable populations, including people with disabilities, ethnic minorities, the elderly and female heads of household. This includes access to basic services such as water and sanitation.
Youth and child development
Projects that create opportunities for youth, including employment, or enable access to and enhance early childhood and primary education.
Environment and community-based natural resource management
Projects that expand effective community ownership and management of natural resources, promote the conservation of natural resources, build resilience and increase the capacity to adapt to environmental changes.
PROJECT REQUIREMENTS:
To meet the following criteria to be eligible for consideration, projects must:
Â· Help improve basic economic or social conditions on a small community scale and has a long-term value.
Â· Have high impact, benefit a significant number of community members and have a high beneficiary to budget ratio.
Â· Be initiated by the community, demonstrate strong community involvement and participation.
Â· Be feasible and based on the socio-economic context of the community.
Â· Include a community contribution of 10% or more of the total cost of the project. This may be in cash or in kind, such as volunteer time and labor, food, accommodation costs, donated land, transportation costs, equipment, and materials.
Â· Aim to be completed within 6 â€“ 12 months and be self-sustaining upon completion. The project plan contains pre-established long-term goals and a coherent plan to keep the project running in the future.
Â· Identify a real need, demonstrate that benefitting community can maintain and operate the project as evidenced by implementing prior successful projects.
Â· Show that applicant organization is financially responsible as evidenced by a bank account in its name.
Â· Illustrate strong coordination and communication among the applicant, local leaders, and local government representatives.
Â· Be submitted by an organized group that is motivated and a capable project manager who is a long-term resident in the community is responsible for the project.
Â· Not request U.S. contribution amount above $7,000.
Â· Have a project budget that is clear, complete, and well defined, and includes only items permanent in nature or technical assistance necessary for the completion of project.
The following is not eligible for funding:
Â· Projects relating to partisan political activity, including fund raising campaigns.
Â· Personal expenses for an individual.
Â· Private businesses.
Â· Purchase and set up of surveillance equipment.
Â· Creating, continuing, or supplementing technical assistance programs.
Â· Duplication of other U.S. Government programs.
Â· Projects that would benefit, either personally or politically, to any employee of the U.S. Government, or the spouse or family member of a U.S. Government employee.
Â· Charitable or donation related activities.
Â· Projects that support specific religious or military activities, as well as those relating to police, prisons, or other law enforcement.
Â· Projects that have purely cultural emphasis.
Â· Large-scale agriculture or construction projects.
Â· Scientific research.
Â· Costs associated with the project manager.
Â· Projects intended primarily for the growth or institutional development of the applying organization. This includes vehicles and office equipment and supplies.
Â· Purchase of alcohol, medicine, school uniforms, school fees.
Â· Support for educational or other facilities used to a significant degree by U.S. employees or their dependents.
Â· Support for abortion-related facilities and services.
Â· Purchase or production of toxic or otherwise unsafe products such as herbicides, pesticides or hazardous chemicals.
Â· Salaries for applying organization staff or contractors.
Â· Purchase of food, refreshments, food parcels; medicines and other consumables
Â· Support for private nurseries, or public/government schools unless through involvement of a Parent-Teacher Association.
Â· Training costs.
Â· Travel costs.
Â· â€œStartupâ€ or â€œSeedâ€ capital or loans.
Â· Previously owned equipment, luxury goods, or gambling equipment.
Â· Funds to remodel or renovate an existing facility that is in disrepair because of neglect or lack of money.
Â· Projects that are partially funded by another donor or the Government of Nigeria. Funds cannot be commingled with funds from other donors, international organization, or other U.S. government programs.
Â· Other activities barred by the Foreign Assistance Act, or the ASSH program.
FOR APPLICATION INSTRUCTIONS VIEW THE FULL NOTICE OF FUNDING OPPORTUNITY LINKED BELOW
</t>
  </si>
  <si>
    <t>Research Training in Aging for Medical Students (T35)</t>
  </si>
  <si>
    <t>Nonprofits having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Non-domestic (non-U.S.) Entities (Foreign Institutions) are not eligible to apply.</t>
  </si>
  <si>
    <t>The primary goal of this Institutional Research Training Grant is to provide short-term training for medical students to obtain necessary aging research experiences and technical expertise and skills early during their education to encourage them to pursue careers in research. Other health professional students may also benefit from such short-term training and are eligible when research training is a minor part of, or nonexistent in, their doctoral program. This Notice of Funding Opportunity Announcement (NOFO) does not allow appointed trainees to lead an independent clinical trial but does allow them to obtain research experience in a clinical trial led by a mentor or co-mentor.</t>
  </si>
  <si>
    <t>Local Government Energy Program: Communities Sparking Investment in Transformative Energy</t>
  </si>
  <si>
    <t>Others (see text field entitled "Additional Information on Eligibility" for clarification) See FOA Section III.A. Eligible Applicants</t>
  </si>
  <si>
    <t>This Funding Opportunity Announcement (FOA) is being issued by the U.S. Department of Energyâ€™s State and Community Energy Programs (SCEP) on behalf of the Local Goverment Energy Program (LGEP)._x000D_
_x000D_
This FOA will support eligible local governments and Tribes to implement projects that provide direct community benefits, spark additional investments, meet community-identified priorities, and build local capacity. Community benefits may include creation of local economic opportunities for workers, workforce measures and agreements, community revitalization, lowered energy burdens, increased access to renewable energy, improved air quality, increased public participation in energy decision-making processes, and improved quality of life for local residents._x000D_
_x000D_
Projects may span a range of geographic scopes and wide variety of technology areas including, but not limited to: building efficiency and/or electrification, electric transportation, energy infrastructure upgrades, microgrid development and deployment, renewable energy, resilience hubs, and workforce development._x000D_
_x000D_
To view the entire FOA document, visit the Infrastructure Exchange Website at https://infrastructure-exchange.energy.gov/</t>
  </si>
  <si>
    <t>U.S. Mission to Yemen Annual Program Statement</t>
  </si>
  <si>
    <t>DOS-SAU</t>
  </si>
  <si>
    <t>U.S. Mission to Saudi Arabia</t>
  </si>
  <si>
    <t>Others (see text field entitled "Additional Information on Eligibility" for clarification) The Public Affairs Section encourages applications from United States and Yemen:_x000D_
- Only non-profit Yemeni or U.S. organizations are eligible to apply. This includes registered not-for-profit organizations, including think tanks and civil society/non-governmental organizations with programming experience._x000D_
- Private not-for-profit universities and public U.S. universities.</t>
  </si>
  <si>
    <t>The U.S. Mission to Yemen Public Affairs Section (PAS)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 Awards will be made to successful applicants subject to the availability of appropriated funds. Purpose of Small Grants: PAS in Yemen invites proposals for programs that strengthen cultural ties between United States and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t>
  </si>
  <si>
    <t>ROSES 2024: A.47 Earth Action: Wildland Fires</t>
  </si>
  <si>
    <t xml:space="preserve">Please note that this program requests optional Notices of Intent, which are due via NSPIRES by April 8,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</si>
  <si>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Agriculture and Food Research Initiative Sustainable Agricultural Systems</t>
  </si>
  <si>
    <t>Others (see text field entitled "Additional Information on Eligibility" for clarification) Eligibility Requirements_x000D_
Applicants for the Agriculture and Food Research Initiative (AFRI) Sustainable Agricultural Systems (SAS) RFA must meet all the requirements discussed in this RFA. Failure to meet the eligibility criteria by the application deadline may result in exclusion from consideration or, preclude NIFA from making an award. For those new to Federal financial assistance, NIFA s Grants Overview provides highly recommended information about grants and other resources to help understand the Federal awards process._x000D_
1. Integrated Projects_x000D_
Eligible applicants for Integrated Projects include:_x000D_
a) colleges and universities;_x000D_
b) 1994 Land-Grant Institutions; and_x000D_
c) Hispanic-serving agricultural colleges and universities (see NIFA's Hispanic-Serving Agricultural Colleges and Universities page)._x000D_
For item a) under Integrated Projects, the terms   and   mean an educational institution in any state which_x000D_
i) admits as regular students only persons having a certificate of graduation from a school providing secondary education, or the recognized equivalent of such a certificate;_x000D_
ii) is legally authorized within such state to provide a program of education beyond secondary education;_x000D_
iii) provides an educational program for which a bachelor s degree or any other higher degree is awarded;_x000D_
iv) is a public or other nonprofit institution; and_x000D_
v) is accredited by a nationally recognized accrediting agency or association._x000D_
A research foundation maintained by a college or university is eligible to receive an award under this program.</t>
  </si>
  <si>
    <t>Applications to the Agriculture and Food Research Initiative - Sustainable Agricultural Systems (SAS) Request for Applications (RFA) must focus on approaches that promote transformational changes in the U.S. food and agriculture system. NIFA seeks creative and visionary applications that take a systems approach for projects are expected to significantly improve the supply of affordable, safe, nutritious, and accessible agricultural products, while fostering economic development and rural prosperity in America. These approaches must demonstrate current needs and anticipate future social, cultural, behavioral, economic, health, and environmental impacts. Additionally, the outcomes of the work being proposed should result in societal benefits, including promotion of rural prosperity and enhancement of quality of life for all those involved in food and agricultural value chains from production to utilization and consumption. See AFRI SAS RFA for details.</t>
  </si>
  <si>
    <t>National Organizations of State and Local Officials (NOSLO): State Health Services and Financing</t>
  </si>
  <si>
    <t>State governments Eligible applicants include domestic public or private, non-profit, or for-profit entities, including community-based organizations, tribal governments, and tribal organizations. You can apply if your organization is in the United States, the Commonwealth of Puerto Rico, the Northern Mariana Islands, American Samoa, Guam, the U.S. Virgin Islands, the Federated States of Micronesia, the Republic of the Marshall Islands, or the Republic of Palau and is:  Public or private, non-profit  Community-based  Native American tribal governments 12  Include any proof of applicant status that youll require. For example, proof of non-profit status, in Section IV.2. with a cross-reference to this section, if it applies. Ensure that proof of applicant status is broad enough to include tribal governments and tribal organizations documentation. Note: Current NOSLO award recipients are not eligible to apply as the primary recipient for NOSLO State Health Services and Financing Funding.</t>
  </si>
  <si>
    <t>Organizations of State and Local Officials (NOSLO) Program: State Health Services and Financing to fund a national level organization with an in-depth understanding of, and experience with, providing technical assistance and support to State Medicaid Directors and other health care payment officials to assist states in leveraging HRSA programs and collaborating with Medicaid to improve access to quality health care for high need communities. Activities should include but are not limited to fostering collaborations to address maternal health disparities, bolster the health workforce, integrate behavioral health into primary care, and expand access to care for people in high need communities, such as those who live rural areas, are exiting incarceration, have HIV, and youth with unmet behavioral health needs.
 The successful recipient is expected to provide tailored technical assistance to State Medicaid Directors and other health care payment officials to address HRSAâ€™s priorities and maximize the benefits of and potential collaborations with HRSA programs through:
 â€¢ Communication and information sharing between HRSA and State Medicaid Directors and other health care payment officials, and
 â€¢ Training; data collection, sharing, and analysis; convenings, (e.g., learning exchanges on priority topics); and other activities that enable State Medicaid Directors and other health care payment officials to operate in a responsive, coordinated, and effective manner.</t>
  </si>
  <si>
    <t>Hispanic-Serving Institutions: Enriching Learning, Programs, and Student Experiences</t>
  </si>
  <si>
    <t>Others (see text field entitled "Additional Information on Eligibility" for clarification) *Who May Submit Proposals: Proposals may only be submitted by the following:
  - div class= OutlineElement Ltr SCXW191473771 BCX9 _x000D_
 p class= Paragraph SCXW191473771 BCX9 span class= TextRun SCXW191473771 BCX9  lang=  xml:lang=  data-contrast= To be eligible for funding in the IEP Track, an institution must meet the following criteria: span class= EOP SCXW191473771 BCX9  data-ccp-props= 
_x000D_
 _x000D_
 div class= SCXW191473771 BCX9 _x000D_
 div class= ListContainerWrapper SCXW191473771 BCX9 ol class= NumberListStyle1 SCXW191473771 BCX9  start= _x000D_
 li class= OutlineElement Ltr SCXW191473771 BCX9  data-leveltext=  data-font=  data-listid=  data-list-defn-props=  data-aria-posinset=  data-aria-level= _x000D_
 p class= Paragraph SCXW191473771 BCX9 span class= TextRun SCXW191473771 BCX9  lang=  xml:lang=  data-contrast= Be an accredited institution of higher education. span class= EOP SCXW191473771 BCX9  data-ccp-props= 
_x000D_
 _x000D_
 _x000D_
 div class= ListContainerWrapper SCXW191473771 BCX9 ol class= NumberListStyle1 SCXW191473771 BCX9  start= _x000D_
 li class= OutlineElement Ltr SCXW191473771 BCX9  data-leveltext=  data-font=  data-listid=  data-list-defn-props=  data-aria-posinset=  data-aria-level= _x000D_
 p class= Paragraph SCXW191473771 BCX9 span class= TextRun SCXW191473771 BCX9  lang=  xml:lang=  data-contrast= Offer Undergraduate STEM educational programs that result in certificates or degrees. span class= EOP SCXW191473771 BCX9  data-ccp-props= 
_x000D_
 _x000D_
 _x000D_
 div class= ListContainerWrapper SCXW191473771 BCX9 ol class= NumberListStyle1 SCXW191473771 BCX9  start= _x000D_
 li class= OutlineElement Ltr SCXW191473771 BCX9  data-leveltext=  data-font=  data-listid=  data-list-defn-props=  data-aria-posinset=  data-aria-level= _x000D_
 p class= Paragraph SCXW191473771 BCX9 span class= TextRun SCXW191473771 BCX9  lang=  xml:lang=  data-contrast= span class= NormalTextRun SCXW191473771 BCX9 Satisfy the definition of an HSI as specified in section 502 of the Higher Education Act of 1965 (20 U.S.C. 1101a). span class= AdvancedProofingIssue SCXW191473771 BCX9 In particular, institutions span class= NormalTextRun SCXW191473771 BCX9  will be required to submit an updated eligibility letter from the U.S. Depar span class= NormalTextRun SCXW191473771 BCX9 tment of Education as a supplementary document. span class= EOP SCXW191473771 BCX9  data-ccp-props= 
_x000D_
 _x000D_
 _x000D_
 div class= ListContainerWrapper SCXW191473771 BCX9 ol class= NumberListStyle1 SCXW191473771 BCX9  start= _x000D_
 li class= OutlineElement Ltr SCXW191473771 BCX9  data-leveltext=  data-font=  data-listid=  data-list-defn-props=  data-aria-posinset=  data-aria-level= _x000D_
 p class= Paragraph SCXW191473771 BCX9 span class= TextRun SCXW191473771 BCX9  lang=  xml:lang=  data-contrast= Be designated as an HSI by the U.S. Department of Education ( a class= Hyperlink SCXW191473771 BCX9  href=  rel= noreferrer noopener  target= span class= TextRun Underlined SCXW191473771 BCX9  lang=  xml:lang=  data-contrast= span class= NormalTextRun SCXW191473771 BCX9  data-ccp-charstyle= span class= TextRun SCXW191473771 BCX9  lang=  xml:lang=  data-contrast= span class= NormalTextRun SCXW191473771 BCX9 )  span class= ContextualSpellingAndGrammarError SCXW191473771 BCX9 span class= NormalTextRun SCXW191473771 BCX9  the time of submission. Documentation from the Department of Education confirming HSI status must be submitted as a supplemental document. span clas</t>
  </si>
  <si>
    <t xml:space="preserve">_x000D_
_x000D_
_x000D_
_x000D_
Hispanic Serving Institutions (HSIs)are animportant component of the nation s higher education ecosystem and play a critical role in realizing the National Science Board s vision for a more diverse and capable science and engineering workforce1,2.Aligned with this vision and the NSF Strategic Plan3, the goals of the NSF HSI Program are to:
_x000D_
_x000D_
_x000D_
_x000D_
Enhance the quality of undergraduate science, technology, engineering, and mathematics (STEM) education at HSIs.
_x000D_
_x000D_
_x000D_
_x000D_
_x000D_
_x000D_
_x000D_
Increase the recruitment, retention, and graduation rates of students pursuing associate s or baccalaureate degrees in STEM at HSIs.
_x000D_
_x000D_
_x000D_
_x000D_
Meeting these goals requiresinstitutions to understand and embrace their students strengths, challenges, and lived experiences. While this can happen in many ways and across many parts of an institution, theHispanic Serving Institutions: Enriching Learning, Programs, and Student Experiences (HSI:ELPSE)solicitationis specifically focused on studying and improving the student experience in the following settings:
_x000D_
_x000D_
_x000D_
_x000D_
_x000D_
STEM courses, particularly for students pursuing STEM degrees;
_x000D_
_x000D_
_x000D_
_x000D_
_x000D_
_x000D_
_x000D_
_x000D_
_x000D_
Certificate, minor, and/or degreeprograms;
_x000D_
_x000D_
_x000D_
Academic departments or divisions; and
_x000D_
_x000D_
_x000D_
Schools and colleges that represent a partof the entire institution (e.g., a School of Engineering or a College of Natural Sciences).
_x000D_
_x000D_
_x000D_
_x000D_
_x000D_
Institutions are encouraged to consider how their mission and designation as anHSI could reimagine and/or strengthen courses, degree programs, departments, or divisions. The HSI:ELPSE solicitation welcomes projects that look to implement, test and refine promising practices and/or conduct research related to broadening participation or improving recruitment, retention, graduation and other positive outcomes for undergraduates in STEM.
_x000D_
_x000D_
_x000D_
_x000D_
The HSI:ELPSEsolicitation supportsprojects that are purposefully designed to meet students where they are, accounting for both their assets and the challenges they may face. Identities and experiences are not determined solely by membership in a single monolithic population of students (e.g., Hispanic, first-generation, commuter, etc.). Consequently, institutions are expected to use institutional datato identify equity gaps, identify areas of need,and unpack the factors that shape students  individual realities and shared experiences. Perspectives gained from these data should be central to the design of the project.
_x000D_
_x000D_
_x000D_
This solicitation includes the following tracks:
_x000D_
_x000D_
_x000D_
_x000D_
_x000D_
_x000D_
Implementation and Evaluation Projects (IEP): Levels 1 and 2
_x000D_
_x000D_
_x000D_
Educational Instrumentation (EI)
_x000D_
_x000D_
_x000D_
_x000D_
_x000D_
Please see below for specific information about each track. Generally, proposals to theIEP track will center on one or more of the following: courses; curricular improvements; pedagogy; support structures inside and outside of the classroom; degree programs; and student pathways.
_x000D_
_x000D_
_x000D_
The HSI:ELPSE solicitation will also consider proposals designed to increase access to computing resources and/or laboratory instrumentation needed to provide high-quality undergraduate STEM education at the following types of institutions: (1) HSIs in EPSCoR jurisdictions; and (2) HSI Primarily Undergraduate Institutions (PUIs) in all other (non-EPSCoR) jurisdictions.Please see the discussion of the Educational Instrumentation Track below for specific details.
_x000D_
_x000D_
_x000D_
_x000D_
_x000D_
</t>
  </si>
  <si>
    <t>Inflation Reduction Act Funding for Advanced Biofuels</t>
  </si>
  <si>
    <t>Others (see text field entitled "Additional Information on Eligibility" for clarification) The proposed prime recipient and subrecipient(s) must be domestic entities._x000D_
_x000D_
If the Prime Recipient is not a for-profit industry entity providing technical capability, then one or more for-profit entity industry partners providing technical capability must participate as Subrecipient(s) with aggregate effort equivalent to at least 20% of the total cost of the project.</t>
  </si>
  <si>
    <t>Inflation Reduction Act Funding for Advanced Biofuels_x000D_
_x000D_
Bioenergy Technologies Officeâ€™s 2024 Systems Development and Integration (SDI) FOA is funded by the Inflation Reduction Act (IRA) of 2022. IRA Section 60108(b) authorized $10 million to the Environmental Protection Agency (EPA) for new grants to industry in advanced biofuels. EPA and DOE entered an Interagency Agreement to transfer the funds to DOE and allow DOE to manage a FOA with substantial involvement from EPA. The FOAâ€™s topic areas are of mutual interest for both the EPAâ€™s priority in the Renewable Fuel Standard (RFS) program and DOE BETOâ€™s priority in the Sustainable Aviation Fuel (SAF) Grand Challenge as well as SDIâ€™s priority in supporting four demonstration-scale integrated biorefineries by 2030. For both topic areas, the application must discuss how the proposed technology would meet the RFS definition of advanced biofuel, which means using allowable feedstocks, producing allowable fuel types, and with lifecycle greenhouse gas emissions reductions of at least 50% compared to petroleum base baseline.</t>
  </si>
  <si>
    <t>Next Era of Wireless and Spectrum</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</si>
  <si>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By the submission deadline, any PI, co-PI, or other senior/key personnel must hold either:
_x000D_
 _x000D_
 a tenured or tenure-track position, or _x000D_
 a primary, full-time, paid appointment in a research or teaching position _x000D_
 _x000D_
at a US-based campus of an IHE or at a non-profit non-academic organization, with exceptions granted for family or medical leave, as determined by the submitting organization. Individuals with primary appointments at for-profit non-academic organizations or at overseas branch campuses of US IHEs are not eligible.</t>
  </si>
  <si>
    <t>The National Science Foundation's Directorates for Engineering (ENG), Computer and Information Science and Engineering (CISE), Mathematical   Physical Sciences (MPS), and Social, Behavioral and Economic Sciences (SBE) are coordinating efforts to create fundamental understanding that will enablecontinued effective use of an essential common resource, the electromagnetic spectrum. Existing approaches to spectrum management and regulationhave struggled with the ever-increasing demands for spectrum created by continual emergence of new scientific, military, and commercial applications, powered by steady advances in wireless technologies. Development of fundamentally new models and paradigms of spectrum access and management, along with enabling technologies, is needed before it becomes too costly to accommodate new innovations and essential services, or too late to sustain the digital transformation and growth of key industries and public services.
_x000D_
This program seeks to develop the intellectual capital enabling the U.S. to smoothly and quickly transition to effective new ways of using and managing the radio and optical spectrum after the end of the current spectrum era of long-term exclusive-use license auctions, thereby sustaining and advancing the social, economic, scientific, and U.S. national leadership benefits derived from the electromagnetic spectrum.</t>
  </si>
  <si>
    <t>Tribal Colleges and Universities Program Hub and Topical Interest Groups</t>
  </si>
  <si>
    <t>Others (see text field entitled "Additional Information on Eligibility" for clarification) *Who May Submit Proposals: Proposals may only be submitted by the following:
  -
Organizations eligible to submit TCUP proposals are federally recognized Tribal Colleges and Universities, Alaska Native-serving institutions and Native Hawaiian-serving institutions. Multiple campuses of one university system are normally encouraged to consider collaborative submissions. Executive Order 13021 defines Tribal Colleges and Universities ( tribal colleges ) as those institutions cited in section 532 of the Equity in Educational Land-Grant Status Act of 1994 (7 U.S.C. 301 note), and other institutions that qualify for funding under the Tribally Controlled Community College Assistance Act of 1978, (25 U.S.C. 1801 et seq.), as well as Navajo Community College as authorized in the Navajo Community College Assistance Act of 1978, Public Law 95-471, Title II (25 U.S.C. 640a note). The term  Alaska Native-serving institution  means an institution of higher education that is an eligible institution under section 1058(b) of the Higher Education Act; and that, at the time of submission, has an undergraduate enrollment that is at least 20 percent Alaska Native students. The term  Native Hawaiian-serving institution  means an institution of higher education that is an eligible institution under section 1058(b) of the Higher Education Act; has a Carnegie classification of baccalaureate or associates college; and has, at the time of submission, an undergraduate enrollment that is at least 10 percent Native Hawaiian students. By signing and submitting the proposal, the proposer is certifying that they meet the eligibility criteria specified in this program solicitation. Willful provision of false information in this request and its supporting documents or in reports required under an ensuing award is a criminal offense (U.S. Code, Title 18, Section 1001). Eligibility may be verified by consulting the Integrated Postsecondary Education Data System (IPEDS) or other certified federal government data sources. 
*Who May Serve as PI:
For the TCUP Hub, the principal investigator (PI) is expected to be a senior academic officer or a senior STEM faculty member. Any prospective PI must demonstrate significant experience with and knowledge of the TCUP community of institutions, including their needs, their governance structure, and their accomplishments relevant to pertinent STEM discipline areas and status of instructional programs. For the TCUP TIGs, the PI is expected to be an experienced member of the TCUP STEM faculty with demonstrated expertise in the subject matter focus of the TIG. Prospective PIs are encouraged to consult TCUP program staff prior to proposal submission.</t>
  </si>
  <si>
    <t>This solicitation is offered for support of two types of projects, a TCUP Hub and faculty-led topical interest groups (TIGs).
_x000D_
The TCUP Hub will serve the entire TCUP-eligible community with activities such as convening workshops (including the TCUP Leaders' Forum), coordinating faculty/student exchanges, organizing professional development opportunities, and overseeing TCUP Fellowship opportunities with eligible agencies. The Hub will connect people and organizations to facilitate relationships, expand and diversify networks, and support TCUP faculty and staff in building capacity in areas they identify. It will curate shared resources, expertise, and experiences to build the capacity of TCUP institutions. Also, it will build and support a sense of community among all TCUP institutions and elevate the voices within them.
_x000D_
Only one Hub will be supported, either to a single institution or to a collaborative submission from multiple institutions. Interested parties may find that a collaborative submission from multiple institutions is more feasible, engaging two or more TCUP institutions to synergistically leverage their different strengths in realizing the Hub's mission. Multiple institutions submitting collaboratively may better address the multiplicity of TCUP institutions, which vary geographically, administratively, and in modes of governance. Clearly, some activities may be best pursued by enlisting specialists as consultants. Two types of collaborative proposals are acceptable: simultaneous submission of proposals from multiple organizations submitting a unified set of certain proposal sections, as well as information unique to each organization, such as unique budgets, key personnel, and activities; or submission of a collaborative proposal from one organization, with collaborating institutions included through subawards (subawards are permitted only to TCUP-eligible institutions; proposers should confer with the TCUP program staff prior to submission). All collaborative proposals submitted from multiple organizations must be submitted via Research.gov.
_x000D_
Additionally, this solicitation is offered for support of independent, faculty-led topical interest groups (TIGs) that focus on professional development of faculty and formation of science, technology, engineering, and mathematics (STEM) discipline networks (e.g., engineering, genomics, Indigenous research, environmental science). Up to two new TIGs may be supported.
_x000D_
[1] Executive Order 13021 defines Tribal Colleges and Universities ("tribal colleges") as those institutions cited in section 532 of the Equity in Educational Land-Grant Status Act of 1994 (7 U.S.C. 301 note), and other institutions that qualify for funding under the Tribally Controlled Community College Assistance Act of 1978, (25 U.S.C. 1801 et seq.), as well as Navajo Community College as authorized in the Navajo Community College Assistance Act of 1978, Public Law 95-471, Title II (25 U.S.C. 640a note). The term "Alaska Native-serving institution" means an institution of higher education that is an eligible institution under section 1058(b) of the Higher Education Act; and that, at the time of submission, has an undergraduate enrollment that is at least 20 percent Alaska Native students. The term "Native Hawaiian-serving institution" means an institution of higher education that is an eligible institution under section 1058(b) of the Higher Education Act; and that, at the time of submission, has an undergraduate enrollment that is at least 10 percent Native Hawaiian students. Most TCUP-eligible institutions of higher education are two-year or community colleges. See the Who May Submit Proposals section in this solicitation for further details.</t>
  </si>
  <si>
    <t>The Rural eConnectivity Program</t>
  </si>
  <si>
    <t>City or township governments Cooperatives or Mutual Organizations and Limited Liability Partnerships are eligible to apply.</t>
  </si>
  <si>
    <t>The Rural eConnectivity Program (ReConnect) Program provides loans, grants, and loan/grant combinations to facilitate broadband deployment in rural areas. In facilitating the expansion of broadband services and infrastructure, the program will fuel long-term economic development and opportunities in rural America.
The ReConnect Program is authorized by the Consolidated Appropriations Act, 2018 (Pub. L. 115-141), which directs the program to be conducted under the Rural Electrification Act of 1936 (7 U.S.C. 901 et seq ). The policies and procedures for the ReConnect Program are codified in a final rule, 7 CFR part 1740, that was published in the Federal Register on February 26, 2021 (86 FR 11603).
The Rural Utilities Service (RUS), a Rural Development agency of the United States Department of Agriculture (USDA), is issuing a Notice of Funding Opportunity (NOFO) to announce that it is accepting applications for the ReConnect Program. In addition, the NOFO defines requirements that are determined at the time a funding announcement is published, as outlined in the regulation.
Beginning on March 22, 2024, applications can be submitted through the RUS on-line application portal until 11:59 a.m. Eastern on May 21, 2024. Applications will not be accepted after May 21, 2024 until a new application opportunity has been opened with the publication of an additional NOFO in the Federal Register .
The Agency encourages applicants to consider projects that will advance the following key priorities:
 Assisting rural communities recover economically through more and better market opportunities and through improved infrastructure.
 Ensuring all rural residents have equitable access to Rural Development programs and benefits from Rural Development funded projects.
 Reducing climate pollution and increasing resilience to the impacts of climate change through economic support to rural communities.
All applicants should carefully review and prepare their applications according to instructions in the ReConnect Program Application Guide and program resources. This Program Guide and program resources can be found at https://www.usda.gov/reconnect/forms-and-resources. Applications must be submitted through the RUS on-line application system available on the program web site at https://www.usda.gov/reconnect/. 
Please submit any ReConnect questions or comments using our Contact Us Form.</t>
  </si>
  <si>
    <t>Consortium for Palliative Care Research Across the Lifespan (U54 Clinical Trial Optional)</t>
  </si>
  <si>
    <t>This Notice of Funding Opportunity (NOFO) invites applications for a U54 Specialized Center (henceforth: Consortium) to provide resources, expertise, and coordination to advance innovative, high-quality research on palliative care for those with serious illness across the lifespan. This research infrastructure will encompass Alzheimers disease and Alzheimers disease-related dementias (AD/ADRD), cancer, and other serious illnesses and populations relevant to the partnering Institutes, Centers, and Offices (ICOs). NIH currently funds many palliative care research projects across the ICOs, and there is a need for a structure to leverage synergies, coordinate efforts, develop the scientific workforce, and address remaining gaps in the field. The goals of this initiative include generating new scientific knowledge, in part through supporting pilot and exploratory studies; fostering development of early- and mid-career palliative care investigators; serving as a national platform to provide research resources and facilitate high-quality palliative care research; engaging healthcare systems and community-based organizations as research partners and settings for palliative care research; and disseminating research findings, best practices, data, and other impactful resources to the palliative care research and clinical communities. An important focus of the Consortiums work will be on facilitating research to understand and address disparities in access, quality, and use of palliative care services for health disparities populations or in underserved areas.</t>
  </si>
  <si>
    <t>FY 2023 Section 202 Supportive Housing for the Elderly Program</t>
  </si>
  <si>
    <t>Others (see text field entitled "Additional Information on Eligibility" for clarification) A. Eligible Applicants-Non-profit Status.Under Tab A, you must document your status as a private nonprofit organization (see 24 CFR 891.205) or as a mixed-finance limited partnership with one or more private non-profit organizations serving as the general partner (see 24 CFR 891.805). Applicants and any other organization(s) that is co-sponsoring the application must submit the following:Articles of Incorporation, Constitution, Resolutions or other organizational documents;By-laws;A graphic organizational chart indicating the relationship among parties and a list of the applicants  officers; andCurrent valid IRS tax exemption determination letter (including churches).HUD will review the applicant's 501(c)(3) or 501(c)(4) determination letter from the IRS, Articles of Incorporation, Constitution, By-Laws, organizational chart, or other organizational documents to determine, among other things, that:The applicant is an eligible private nonprofit entity and not a public body;The applicant's corporate purposes are sufficiently broad to provide the legal authority to sponsor the proposed project and to apply for Capital Advance funds and PRAC funds,Language is included in the documents stating that no part of the net earnings inures to the benefit of any private party, andThe applicant is not controlled by, or under the direction of, persons seeking to derive profit or gain therefrom.  Individuals, foreign entities, and sole proprietorship organizations are not eligible to compete for, or receive, awards made under this announcement.</t>
  </si>
  <si>
    <t>The Section 202 Supportive Housing for the Elderly program provides Capital Advance funding for the development of supportive rental housing for Very-Low-Income persons aged 62 years or older and project rental subsidies in the form of a Project Rental Assistance Contract (PRAC) to maintain ongoing affordability. This program provides elderly persons with the opportunity to live independently, but with important voluntary support services such as nutritional, transportation, continuing education, and/or health-related services. In addition, this yearâ€™s NOFO includes funding to support the development of intergenerational housing for elderly caregivers raising children. Intergenerational dwelling units are also referred to as 'intergenerational housing' in this NOFO.Capital Advance funds must be used to finance construction, reconstruction, moderate or substantial rehabilitation, or acquisition of a structure with or without rehabilitation. Capital Advance funds bear no interest and repayment is not required provided the housing remains available for occupancy by Very-Low-Income Elderly Persons for at least 40 years.Project Rental Assistance Contracts (PRAC) are used to cover the difference between the tenants' contributions toward rent and the HUD approved cost to operate the project, including the cost of employing a service coordinator and HUD approved service expenses (see 24 CFR 891.205).HUD encourages applicants to use Capital Advance funds in combination with other non-Section 202 funding, but they may only be used in connection with units that will be assisted under the PRAC. PRAC units may be developed or placed within a property that also includes non-PRAC residential units (whether restricted as affordable or rented at market rates) and non-residential units (such as first floor commercial space).HUD seeks to fund Section 202 properties that advance housing for the elderly as a platform for living independently and aging in community even as residents may require more assistance with activities of daily living over time. Through this NOFO, HUD seeks sponsors that:Will produce housing that is physically designed to promote the long-term wellness of Elderly Persons and allow them to age in place;Can provide a robust package of services that support the health and social well-being of Elderly Persons; andLeverage Capital Advance funds with other financing sources to maximize the number of units created per dollar of HUD funding.Per 24 CFR 891.809, Capital Advance Funds can NOT be used:       For acquisition of facilities currently owned and operated by the Sponsor as housing for the elderly, except with rehabilitation as defined in 24 CFR 891.105;For the financing or refinancing of currently Federally assisted or Federally-insured units (this includes projects currently encumbered by FHA-insured debt and Flexible Subsidy Loans, as well as existing 202 Capital Advance and Direct Loan projects);For units in Section 202 direct loan projects previously refinanced under the provisions of Section 811 of the American Homeownership and Economic Opportunity Act of 2000, 12 U.S.C. 1701q note; andTo construct or operate nursing homes, infirmaries, assisted living facilities, medical facilities, mobile homes, community centers, headquarters for organizations for the elderly, or residential units without individual kitchens and/or bathrooms (also known as "single room occupancy units" or SROs) that are not shared.</t>
  </si>
  <si>
    <t>Transformative Research on the Basic Mechanisms of Polysubstance use in Addiction (R01 - Clinical Trials Optional)</t>
  </si>
  <si>
    <t>Independent school districts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</si>
  <si>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This notice of funding opportunity (NOFO) will support projects proposing mechanistic studies that will transform our understanding of polysubstance use in addiction. These hypothesis-based, exploratory projects may investigate mechanisms of polysubstance use at the behavioral, cognitive, cellular, circuit, genetic, epigenetic, pharmacological and/or computational levels.</t>
  </si>
  <si>
    <t>Office of Naval Research (ONR) Global Research Opportunity:  Global-X Challenge 2024</t>
  </si>
  <si>
    <t>DOD-ONR</t>
  </si>
  <si>
    <t>Office of Naval Research</t>
  </si>
  <si>
    <t>Others (see text field entitled "Additional Information on Eligibility" for clarification) See full eligibility requirements in pages 2 - 3 of this announcement package, as well as Broad Agency Announcement N0001424SB001.</t>
  </si>
  <si>
    <t>The purpose of this Global-X Challenge is to discover, and ultimately provide a catalyst through a research grant, for subsequent development and delivery of revolutionary capability to the U.S. Navy and Marine Corps, the commercial marketplace, and the public. The expected outcomes of this Global-X Challenge are promising, potentially game-changing, concepts whose technology maturity may be accelerated under separate follow-on technology development efforts.</t>
  </si>
  <si>
    <t>Division of Integrative Organismal Systems Core Programs</t>
  </si>
  <si>
    <t>The Division of Integrative Organismal Systems (IOS) Core Programs Track supports research to understand why organisms are structured the way they are and function as they do. Proposals are welcomed in all of the core scientific program areas supported by the Division of Integrative Organismal Systems (IOS). Areas of inquiry include, but are not limited to, developmental biology and the evolution of developmental processes, development, structure, modification, function, and evolution of the nervous system, biomechanics and functional morphology, physiological processes, symbioses and microbial interactions, interactions of organisms with biotic and abiotic environments,plant and animal genomics, and animal behavior. Proposals should focus on organisms as a fundamental unit of biological organization. Principal Investigators are encouraged to apply systems approaches that will lead to conceptual and theoretical insights and predictions about emergent organismal properties.
_x000D_
The IntBIOTrackinvites submission of collaborative proposals totackle bold questions in biology thatrequire an integrated approach to make substantive progress. Integrative biological research spans subdisciplines and incorporates cutting-edge methods, tools, and concepts from each to produce groundbreaking biological discovery that is synergistic, such that the whole is greater than the sum of the parts. The research should produce a novel, holistic understanding of how biological systems function and interact across different scales of organization, e.g., from molecules to cells, tissues to organisms, species to ecosystems and the entire Earth.Where appropriate, projects should apply experimental strategies, modeling, integrative analysis, advanced computation, or other research approaches to stimulate new discovery and general theory in biology.</t>
  </si>
  <si>
    <t>Plant Genome Research Program</t>
  </si>
  <si>
    <t xml:space="preserve">_x000D_
The Plant Genome Research Program (PGRP) supports genome-scale research that addresses challenging questions of biological, societal and economic importance. PGRP encourages the development of innovative tools, technologies, and resources that empower a broad plant research community to answer scientific questions on a genome-wide scale. Emphasis is placed on the scale and depth of the question being addressed and the creativity of the approach. Data produced by plant genomics should be usable, accessible, integrated across scales, and of high impact across biology. Training, broadening participation, and career development are essential to scientific progress and should be integrated in all PGRP-funded projects.
_x000D_
Two funding tracks are currently available:
_x000D_
_x000D_
RESEARCH-PGR TRACK: Genome-scale plant research to address fundamental questions in biology, including processes of economic and/or societal importance._x000D_
TRTech-PGR TRACK: Tools, resources, and technology breakthroughs that further enable functional plant genomics._x000D_
</t>
  </si>
  <si>
    <t>Environmental Research Apprenticeship Program for College and University Students</t>
  </si>
  <si>
    <t>Others (see text field entitled "Additional Information on Eligibility" for clarification) See Section III of the notice of funding opportunity for eligibility information.</t>
  </si>
  <si>
    <t xml:space="preserve">The U.S. Environmental Protection Agencyâ€™s (EPA) Office of Research and Development (ORD) seeks to support a Research Training Program for college and university students. The objective of this Request for Applications (RFA) is to support the training of undergraduate and graduate students on site at EPAâ€™s research facility located in Ada, Oklahoma. ORD conducts timely, mission-relevant, solution-oriented research based on the principles of integrity, sustainability, and responsiveness to the needs of the Nation. The Environmental Research Apprenticeship Program (ERAP) for College and University Students is designed to increase both the effectiveness and number of future environmental scientists and technicians by allowing trainees to collaborate with senior EPA-ORD scientists. The overall goal is to train the next generation of science, technology, engineering, and mathematics (STEM) scientists and engineers to further the Agencyâ€™s mission to reduce greenhouse gas emissions, manage chemical risks, protect, and restore land, and protect America's water. The training will be conducted at EPAâ€™s facilities in Ada, Oklahoma. Some examples of the fields of study for desirable trainees include (but are not limited to) those majoring in environmental science, water policy, chemistry, engineering, computer science, ecology, and physical and biological sciences. </t>
  </si>
  <si>
    <t xml:space="preserve">U.S. Embassy Niamey PDS Annual Program Statement </t>
  </si>
  <si>
    <t>DOS-NER</t>
  </si>
  <si>
    <t>U.S. Mission to Niger</t>
  </si>
  <si>
    <t xml:space="preserve">Others (see text field entitled "Additional Information on Eligibility" for clarification) ligible applicants include:  _x000D_
_x000D_
Registered not-for-profit organizations, including think tanks and civil society/non-governmental organizations with programming experience.  _x000D_
_x000D_
Individuals  _x000D_
_x000D_
Non-profit or governmental educational institutions  _x000D_
_x000D_
Governmental institutions  _x000D_
_x000D_
  _x000D_
_x000D_
Reminder: All programs must include an American cultural element, or connection with American expert(s), organization(s), or institution(s) in a specific field that will promote increased understanding of U.S. policy and perspectives.  _x000D_
_x000D_
  _x000D_
_x000D_
For-profit or commercial entities are not eligible to apply.  _x000D_
_x000D_
  _x000D_
_x000D_
Cost Sharing or Matching  _x000D_
_x000D_
Cost sharing is not required.  _x000D_
_x000D_
  _x000D_
_x000D_
Other Eligibility Requirements  _x000D_
_x000D_
Applicants are only allowed to submit one proposal per organization or per person. If more than one proposal is submitted from an organization, all proposals from that institution will be considered ineligible for funding.  _x000D_
_x000D_
In order to be eligible to receive an award, all organizations must have a Unique Entity Identifier (UEI) and a valid registration on www.SAM.gov. </t>
  </si>
  <si>
    <t xml:space="preserve">PDS Niamey invites individuals or organizations interested in submitting a proposal to use the award as seed money to generate buy-in from other stakeholders. We will be looking for partnerships and cost-sharing with host country civil society organizations and the business community that can extend the impact of your proposals. Competitive proposals will also address the issue of sustainability â€” explaining how the project or program will continue beyond the initial support from the U.S. government. All programs must include an American cultural element, or connection with American expert(s), organization(s), or institution(s) in a specific field that will promote increased understanding of U.S. policy and perspectives. </t>
  </si>
  <si>
    <t>U.S. Embassy Buenos Aires PAS Annual Grants Fund</t>
  </si>
  <si>
    <t>DOS-ARG</t>
  </si>
  <si>
    <t>U.S. Mission to Argentina</t>
  </si>
  <si>
    <t>Others (see text field entitled "Additional Information on Eligibility" for clarification) PAS invites academic, cultural, educational and non-profit organizations, as well as individuals, to submit proposals that strictly adhere to the priority areas of interest of the US Embassy in Argentina detailed below.</t>
  </si>
  <si>
    <t xml:space="preserve">The Office of Public Affairs of the United States Embassy in Argentina (PAS) announces the Public Diplomacy Annual Grants Fund. This announcement describes our funding priorities, strategic themes, and procedures for submitting funding requests. PAS will accept proposals on a rolling basis until August 15, 2024.  
All awards must include a U.S. element or a clear, explicit connection with experts, organizations, or institutions from the United States in a specific field that will promote increased understanding of U.S. policy, values, and perspectives.  
Priority Region: Project activities must take place or be initiated in Argentina and be directed towards Argentinian audiences/participants. Priority will be given to projects taking place in underserved, marginalized areas.  
 Priority Audiences:  
Â· Historically underrepresented groups in the public commons, e.g.: women, people with disabilities, racial and ethnic minority groups and the LGBTQI+ community.  
Â· Residents of Argentine provinces outside of the City of Buenos Aires.  
Â· U.S. government (USG) program Alumni  
Â· Students from less-resourced backgrounds who can't afford U.S. university tuition but have the potential to win scholarships.  
ï»¿Authorizing legislation, type, and year of funding: 
Funding authority rests primarily in Smith-Mundt Fiscal Year 2024 Public Diplomacy funding.  
PAS will consider applications for continuation grants funded under these awards beyond the initial budget period on a non-competitive basis subject to availability of funds, satisfactory progress of the program, and a determination that continued funding would be in the best interest of the U.S. Department of State. 
 Grants will be awarded in amounts between $15,000 and $50,000 U.S. dollars. The overall program will be administered by RACI (Red Argentina para la CooperaciÃ³n Internacional). RACI will coordinate the disbursements of funds, monitor compliance with the proposed activities and objectives, and receive the corresponding performance and financial reports. Payments will be made either in U.S. Dollars or its equivalent in pesos. Applicants are encouraged to demonstrate cost-sharing, public-private partnerships, cooperation among multiple partners, or innovative means to implement cost savings in their proposals.  
PAS reserves the right to award less or more than the funds requested. In general, up to 20% of the award total is withheld as a final payment to ensure final reports completion. All successful applicants receive the terms and conditions of the award upon selection.  
A review committee will evaluate each application submitted under this call for proposals. The evaluation criteria assess the quality and likelihood of a proposalâ€™s success. The specific criteria are closely related and are considered as a whole in judging the overall quality of an application. Applications will be reviewed on the basis of their coherence, clarity, and attention to detail. Selection decisions are final and not subject to appeal.  
To receive a grant, applicant organizations must have an active registration in www.SAM.gov. Registration is free of charge.  
For-profit or commercial entities are not eligible to apply. </t>
  </si>
  <si>
    <t>FY 2024 IIJA/IRA Bureau of Land Management Arizona Threatened and Endangered Species Program</t>
  </si>
  <si>
    <t>Nonprofits having a 501(c)(3) status with the IRS, other than institutions of higher education Individuals and For-Profit Organizations are ineligible to apply for awards under this NOFO.This program NOFO does not support entities hiring interns or crews under the Public Lands Corps Act of 1993. The Public Lands Corps Act of 1993, 16 USC, Chapter 37, Subchapter II-Public Lands Corps, is the only legislative authority that allows BLM to   interns under this authority. Therefore, eligible Youth Conservation Corps may only apply for projects developed under NOFO 15.243   BLM Youth Conservation Opportunities on Public Lands. CESUs are partnerships with a purpose to promote, conduct, and provide research, studies, assessments, monitoring, technical assistance, and educational services. If a cooperative agreement is awarded to a CESU partner under a formally negotiated Master CESU agreement which is consistent with the CESU purpose, indirect costs are limited to a rate of no-more-than 17.5 percent of the indirect cost base recognized in the partner's Federal Agency-approved Negotiated Indirect Cost Rate Agreement (NICRA).  Applicant s should specify if their proposal furthers the purpose of the CESU program, and if so which CESU Network should be considered as host.</t>
  </si>
  <si>
    <t>Department of the Interior - Bureau of Land Management Arizona Threatened and Endangered Species Program</t>
  </si>
  <si>
    <t>Division of Environmental Biology</t>
  </si>
  <si>
    <t>The Division of Environmental Biology (DEB) Coresupports research and training on evolutionary and ecological processes acting at the level of populations, species, communities, ecosystems, macrosystems, and biogeographic extents. DEB encourages research that elucidates fundamental principles that identify and explain the unity and diversity of life and its interactions with the environment over space and time. Research may incorporate field, laboratory, or collection-based approaches; observational or manipulative studies; synthesis activities; phylogenetic discovery projects; or theoretical approaches involving analytical, statistical, or computational modeling. Proposals should be submitted to the core clusters (Ecosystem Science, Evolutionary Processes, Population and Community Ecology, and Systematics and Biodiversity Science). DEB also encourages interdisciplinary proposals that cross conceptual boundaries and integrate over levels of biological organization or across multiple spatial and temporal scales.Research addressing ecology and ecosystem science in the marine biome should be directed to the Biological Oceanography Program in the Division of Ocean Sciences; research addressing evolution and systematics in the marine biome should be directed to the Evolutionary Processes or Systematics and Biodiversity Science programs in DEB.
_x000D_
All programs in the Directorate for Biological Sciences strive to achieve the goals laid out in theNSF Strategic Plan. Among these goals are: (i) to empower Science Technology, Engineering, and Mathematics (STEM) talent to fully participate in science and engineering; (ii) to enable creation of new knowledge by advancing the frontiers of research and enhancing research capability; and (iii) to benefit society through translation of knowledge into solutions.In line with these goals,DEB welcomes the submission of proposals to this funding opportunity that include the participation of the full spectrum of diverse talent in STEM, e.g., as PI, co-PI, senior personnel, postdoctoral scholars, graduate or undergraduate students or trainees. This includes historically under-represented or underserved populations, diverse institutions including Minority Serving Institutions (MSIs), Primarily Undergraduate Institutions (PUIs), and two-year colleges, as well as major research institutions. Proposals from EPSCoR jurisdictions are especially encouraged.
_x000D_
Also aligned with the NSF Strategic Plan, DEB encouragessubmission of proposals in support of discovery-based explorations, as well as use-inspired, solutions-focused research, including proposals that address priority areas associated with building a resilient planet and biotechnology and the bioeconomy. Someexamples of topics that address priority areas associated with building a resilient planet and biotechnology and the bioeconomy can be found in thelife on a warming planetandbioeconomymetaprogram descriptions. TheCHIPs Act of 2022and theExecutive Order on Advancing Biotechnology and Biomanufacturing Innovation for a Sustainable, Safe and Secure American Bioeconomyhighlight the importance of these two areas with respect to safeguarding national security and promoting prosperity. DEB also strongly encourages proposals that leverage NSF resources that facilitate integration across the biological sciences, such as the National Ecological Observatory Network (NEON), data networks, synthesis centers, and institutes.</t>
  </si>
  <si>
    <t>Developmental Sciences</t>
  </si>
  <si>
    <t>Others (see text field entitled "Additional Information on Eligibility" for clarification) *Who May Submit Proposals: Proposals may only be submitted by the following:
  -Foreign organizations: For cooperative projects involving U.S. and foreign organizations, support will only be provided for the U.S. portion.
  -For-profit organizations: U.S.-based commercial organizations, including small businesses, with strong capabilities in scientific or engineering research or education and a passion for innovation.
  -Non-profit, non-academic organizations: Independent museums, observatories, research laboratories, professional societies and similar organizations located in the U.S. that are directly associated with educational or research activities.
  -Other Federal Agencies and Federally Funded Research and Development Centers (FFRDCs): Contact the appropriate program before preparing a proposal for submission.
  -State and Local Governments: State educational offices or organizations and local school districts.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-Tribal Nations: An American Indian or Alaska Native tribe, band, nation, pueblo, village, or community that the Secretary of the Interior acknowledges as a federally recognized tribe pursuant to the Federally Recognized Indian Tribe List Act of 1994, 25 U.S.C.   5130-5131.
*Who May Serve as PI:
PIs and co-PIs must be researchers who have a Ph.D. or equivalent education and experience, sufficient to allow them to carry out independent basic research. PIs are encouraged to include undergraduate and graduate students in their research projects, but not as PI/co-PI or senior personnel.</t>
  </si>
  <si>
    <t>Developmental Sciences supports basic research that increases our understanding of perceptual, cognitive, linguistic, social, cultural, and biological processes related to human development across the lifespan. Research supported by this program will add to our knowledge of the underlying developmental processes that support social, cognitive, and behavioral functioning, thereby illuminating ways for individuals to live productive lives as members of society.
_x000D_
The Developmental Sciences program supports research that addresses developmental processes within the domains of perceptual, cognitive, social, emotional, language, and motor development across the lifespan by working with any appropriate populations for the topics of interest including infants, children, adolescents, adults (including aging populations), and non-human animals. The program also supports research investigating factors that affect developmental change, including family, peers, school, community, culture, media, physical, genetic, and epigenetic influences. The program funds research that incorporates multidisciplinary, multi-method, and/or longitudinal approaches; develops new methods, models, and theories for studying development; and integrates different processes (e.g., memory, emotion, perception, cognition), levels of analysis (e.g., behavioral, social, neural) and time scales. The program funds basic research that advances our understanding of developmental processes and mechanisms; the program does not fund clinical trials and research focused primarily on health outcomes.
_x000D_
The budgets and durations of supported projects vary widely and are greatly influenced by the nature of the project. Investigators should focus on innovative, potentially transformative research plans and then develop a budget to support those activities, rather than starting with a budget number and working up to that value.
_x000D_
While there are no specific rules about budget limitations, a typical project funded through the Developmental Sciences program is approximately three years in duration with a total cost budget, including both direct and indirect costs, between $100,000 and $200,000 per year. Interested proposers are urged to explore the NSF awards database for the Developmental Sciences program to review examples of awards that have been made. Proposals that contain budgets significantly beyond this range may be returned without review.
_x000D_
The Developmental Sciences program also considers proposals for workshops and small conferences on a case-by-case basis. These typically have total cost budgets, including direct and indirect costs, of approximately $35,000. Conference proposals may only be submitted following an invitation from the Program Directors.
_x000D_
In addition to consulting the NSF awards database, it is often useful for interested proposers to submit (via email) a summary of no more than one page so that a program director can advise the investigator on the fit of the project for DS before the preparation of a full proposal. New investigators are encouraged to solicit assistance in the preparation of their project proposals via consultation with senior researchers in their area, pre-submission review by colleagues, and attendance at symposia and events at professional conferences geared towards educating investigators seeking federal funding.
_x000D_
The Developmental Sciences Program is always interested in identifying new reviewers. Potential reviewers should have a Ph.D. in psychology or a related field and have a demonstrated area of expertise relevant to developmental science. Individuals interested in reviewing for the program should complete an expression of interest form.
_x000D_
SBE/BCS welcomes the submission of proposals to this funding opportunity that include the participation of the full spectrum of diverse talent in STEM,e.g., as PI, co-PI, senior personnel, postdoctoral scholars, graduate or undergraduate students, or trainees. This includes historically under-represented or underserved populations, diverse institutions including Minority Serving Institutions (MSIs), Primarily Undergraduate Institutions (PUIs), and two-year colleges, as well as major research institutions. Proposals from EPSCoR jurisdictions are especially encouraged.</t>
  </si>
  <si>
    <t>F24AS00264 FY2024 Implementation of the Quagga and Zebra Mussel Action Plan (QZAP) in the Western United States</t>
  </si>
  <si>
    <t>Unrestricted (i.e., open to any type of entity above), subject to any clarification in text field entitled "Additional Information on Eligibility" Federal agencies that are selected for award through the merit-review process Interagecy agreements may be used as an alternate execution vehicle.</t>
  </si>
  <si>
    <t>Quagga and Zebra Mussels are aquatic invasive species that are rapidly expanding their range in the Western United States. Popular recreational reservoirs on or connected to the lower Colorado River are one major source of invasive mussels, which are easily transported via trailered watercraft to areas that have not yet been invaded. This Request For Proposals (RFP) will fund proposals in the listed principal areas towards the fulfillment of the top priorities in the Quagga/Zebra Mussel Action Plan for Western U.S. Waters (QZAP 2.0) and will be limited to states within the boundaries of the Western Regional Panel within the United States, not including Canada and Mexico (see map): Limiting the spread of invasive mussels through containment, especially by inspection and decontamination of watercraft moving from invaded water bodies to jurisdictions currently free of dreissenid mussels, and the coordination between states or other jurisdictions to this end;1. Protecting western ecosystems through support and/or establishment of prevention programs for invasive mussels at identified high risk control points. 2. Limiting the spread of invasive mussels through containment by increasing compliance with federal, state, local and tribal laws; 3. Increasing the effectiveness of outreach and education efforts to help advance prevention efforts; 4. Building capacity to detect and respond to new invasive mussel infestations;5. Conducting Research that benefits the priorities listed above, including (but not limited to) social science research to evaluate the effectiveness of invasive species prevention messaging, and research on non- target species impacts of invasive mussel control treatments (See Research Priorities: https://www.reabic.net/journals/mbi/2023/Accepted/MBI_2023_Counihan_et al_correctedproof.pdf) Efforts to address the risks and impacts of these invasive species are on-going. They include development of QZAP, and funding by the U.S. Fish &amp; Wildlife Service (Service) to address waters at highest risk for spreading invasive mussels. In fiscal year 2024 the Service plans to allocate approximately $2,200,000 to projects that will reduce or minimize the threat of quagga and zebra mussels to Western U.S. waters. Funding is available for a limited number of projects that target the priories listed above.</t>
  </si>
  <si>
    <t>ROSES 2024: B.12 Heliophysics Data Environment Enhancements</t>
  </si>
  <si>
    <t xml:space="preserve">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</si>
  <si>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F.3 Exoplanets Research Program</t>
  </si>
  <si>
    <t>ROSES 2024: A.3 Ocean Biology and Biogeochemistry</t>
  </si>
  <si>
    <t xml:space="preserve">Please note that this program requests optional Notices of Intent, which are due via NSPIRES by April 10,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</si>
  <si>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A.25 Earth Surface and Interior</t>
  </si>
  <si>
    <t xml:space="preserve">Please note that this program requests optional Notices of Intent, which are due via NSPIRES by April 18,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</si>
  <si>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C.15 Planetary Protection Research</t>
  </si>
  <si>
    <t xml:space="preserve">Please note that this program requests optional Notices of Intent, which are due via NSPIRES by June 18,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</si>
  <si>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C.25 Lunar Mapping Program</t>
  </si>
  <si>
    <t xml:space="preserve">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</si>
  <si>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A.45 Earth Action: Ecological Conservation Impact Assessment</t>
  </si>
  <si>
    <t xml:space="preserve">Please note that this program requests optional Notices of Intent, which are due via NSPIRES by April 15,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</si>
  <si>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F.21 Economic, Social and Policy Analyses of Lunar Surface Sustainability</t>
  </si>
  <si>
    <t>ROSES 2024: F.15 Economic, Social and Policy Analyses of Orbital Space Sustainability</t>
  </si>
  <si>
    <t>Democracy Commission Small Grants Program 2024</t>
  </si>
  <si>
    <t>Others (see text field entitled "Additional Information on Eligibility" for clarification) Not-for-profit organizations, including think tanks and civil society/non-governmental organizations from North Macedonia only; and Independent media from North Macedonia only.</t>
  </si>
  <si>
    <t>The Embassy of the United States in North Macedonia announces an open competition for organizations/independent media to submit a statement of interest (SOI) to carry out a program (or programs) that support the development of democratic institutions. 
The FY 2024 program has five priority areas: 
1) Strengthen democratic values, including security, anti-corruption, good governance, and transparency in elections;
2) Bolster civil society, foster volunteerism or activism in local communities;
3) Addressing social division, encourage social cohesion and/or combat intolerance;
4) Cyber security, media literacy, and/or anti-disinformation efforts focused on sustainable results; and
5) Environmental and health-focused initiatives.</t>
  </si>
  <si>
    <t>U.S. Embassy Nairobi PDS Annual Program Statement</t>
  </si>
  <si>
    <t>DOS-KEN</t>
  </si>
  <si>
    <t>U.S. Mission to Kenya</t>
  </si>
  <si>
    <t>Others (see text field entitled "Additional Information on Eligibility" for clarification) The Public Diplomacy Section encourages applications from U.S. and Kenyan organizations: 	Registered not-for-profit organizations, including think         tanks and civil society/non-governmental organizations         with programming experience. 	Individuals  	Non-profit or governmental educational institutions 	Governmental institutions</t>
  </si>
  <si>
    <t xml:space="preserve">ROGRAM DESCRIPTIONThe U.S. Embassy Nairobi, Public Diplomacy Section (PDS) of the U.S. Department of State is pleased to announce that funding is available through its Public Diplomacy Small Grants Program. This is an Annual Program Statement, outlining funding priorities, focus themes, and the procedures for submitting requests for funding. Please carefully follow all instructions below.Purpose of Small Grants: PDS Nairobi invites proposals for programs that strengthen ties between the United States and Kenya and promote bilateral cooperation. All programs must advance a U.S. linkage including for example a connection with American expert/s, organization/s, or institution/s in a specific field that will promote increased understanding of U.S. policies, economic models, and perspectives on U.S.-Kenya partnership.Priority Program Areas: Proposals must address one of the following key program areas:1.	Economic Prosperity â€“ Advances the prosperity of the United States and Kenya through a fair and reciprocal economic partnership, the strengthening of Kenyaâ€™s business climate, support for its startup ecosystem, clean energy solutions and climate change resiliency, and education that skills the next generation of workers. 2.	Democracy and Governance â€“ Deepens the bilateral relationship on a broad range of common interests including the respect for human rights, safeguarding civic space, rule of law, public accountability, anti-corruption efforts, shared democratic values, and protection of fundamental freedoms.3.	Celebrating 60 Years of U.S.-Kenya Partnership â€“ 2024 is the 60th anniversary of U.S.-Kenya ties, a milestone to celebrate as well as build upon. Amplify what the United States and Kenya are accomplishing together across various fields, including but not limited to the trade and investment partnership, climate action and renewable energy, public health advancements, education, shared values, and security cooperation. Participants and Audiences:Kenyans who may be in any of the following categories;â€¢	Kenyans between the ages of 16 and 35, including students, civil society leaders and social influencers;â€¢	Business leaders and rising entrepreneurs;â€¢	Established opinion leaders, including cultural influencers and academic institution leadership. </t>
  </si>
  <si>
    <t>U.S. Embassy, Conakry PDS Request for Statements of Interest</t>
  </si>
  <si>
    <t>Others (see text field entitled "Additional Information on Eligibility" for clarification) C. ELIGILIBITY INFORMATION _x000D_
_x000D_
 _x000D_
_x000D_
Eligible Applicants _x000D_
_x000D_
 _x000D_
_x000D_
First-time applicants for U.S. Embassy grants are strongly encouraged to apply! The following organization types are eligible:  _x000D_
_x000D_
U.S. and Guinean Not-for-profit organizations, including think tanks and civil society/non-governmental organizations;  _x000D_
_x000D_
 Educational institutions; _x000D_
_x000D_
Non-profit organizations; _x000D_
_x000D_
Individuals; _x000D_
_x000D_
Non-Governmental institutions;</t>
  </si>
  <si>
    <t xml:space="preserve">A. PROGRAM DESCRIPTION 
The U.S. Embassy Conakry, Public Diplomacy Section of the U.S. Department of State announces an open competition for interested organizations to submit a statement of interest (SOI) for funding a variety of program proposals that strengthen ties between the peoples of the United States and Guinea.  The U.S. Embassy Public Diplomacy Section invites organizations interested in potential funding to submit SOI applications outlining program concepts that reflect this goal. Please carefully follow all instructions below. 
The submission of the SOI is the first step in a two-step process.  Applicants must first submit a concise one-to-two-page statement of interest in English via this form [Click Here] that succinctly and clearly communicates the applicantâ€™s program idea and objectives.  This is not a full proposal.  The purpose of the SOI process is to allow applicants to submit program ideas for the U.S. Embassy Public Diplomacy Section to evaluate prior to requiring the development of a full proposal.  Upon a merit review of eligible SOIs, selected applicants will be invited to expand on their program idea(s) by submitting a full proposal. Full proposals will go through a second merit review before a final funding decision is made. 
Purpose: The U.S. Embassy in Guinea invites SOIs for programs that strengthen 
ties between the United States and Guinea through cultural and exchange programming that highlight shared values and promotes bilateral cooperation. All programs must include an American cultural element, or connection with American expert/s, organization/s, or institution/s in a specific field that will promote increased understanding of U.S. policy and perspectives. 
</t>
  </si>
  <si>
    <t>FY2024 Book Translation Program</t>
  </si>
  <si>
    <t>Others (see text field entitled "Additional Information on Eligibility" for clarification) Ukrainian non-profit and non-governmental publishers are eligible to apply. Organizations Not Eligible to Apply:  Commercial publishers are not eligible, unless they have a non-profit division that qualifies as a separate non-profit organization under U.S. or Ukrainian law.  Third-country publishers are not eligible.</t>
  </si>
  <si>
    <t xml:space="preserve">Program: Ukraine: U.S. Embassy Book Translation Program 
Public Affairs Section of the U.S. Embassy 4, Igor Sikorsky St., Kyiv 04112 Tel.: (044) 521 57 66; 521 51 49; 521-5742 Fax: (044) 521 51 55 
KyivPDBookTranslations@state.gov 
KrekotenOV@state.gov 
SUMMARY: The U.S. Embassy in Kyiv announces the 2024 Book Translation Program. Subject to availability of funds, the Embassy will award small grants as described below to Ukrainian publishers seeking to translate American books from English into Ukrainian. The program seeks to further Ukraineâ€™s efforts in the spheres of economic, social, and educational reform through book translations and publications. 
This funding will support the translation of texts written by American authors and originally published by American publishers pertaining to the themes listed below. Translated books are distributed to universities and schools, libraries, government organizations and ministries, NGOs, the media, and other selected organizations. The main criteria for selecting books are their relevance, timeliness, and quality. 
ELIGIBILITY REQUIREMENTS: 
Ukrainian non-profit and non-governmental publishers are eligible to apply. 
Organizations Not Eligible to Apply:  
Commercial publishers are not eligible, unless they have a non-profit division that qualifies as a separate non-profit organization under U.S. or Ukrainian law.  
Third-country publishers are not eligible. 
ELIGIBLE PROJECT THEMES 
The goal of the Book Translation Program is to leverage U.S. expertise, knowledge, and experience, as reflected in American literature, to assist Ukraine in its implementation of economic, social, and educational reforms. Regarding works of fiction, priority will be given to books whose themes highlight similarities and connections between U.S. and Ukrainian society or are otherwise relevant to contemporary Ukrainian reality. 
Eligible themes include: 
Â· American institutions and values 
Â· Urban planning 
Â· Strengthening rule of law and combating corruption 
Â· Foreign policy and security studies 
Â· Entrepreneurship and economic development 
Â· Countering disinformation 
Â· Elections and political processes 
Â· U.S.-Ukrainian relations 
Â· Ukrainian and regional history 
Â· Conflict resolution 
Â· Post-traumatic stress disorder and trauma 
Â· Young adult and childrenâ€™s literature (fiction and nonfiction), including comics and graphic novels) 
Â· Literary fiction 
Â· Studies of visual and performing arts 
Â· Scripts of American plays or musicals 
FUNDING LEVELS AND ALLOWABLE EXPENSES  
Subject to availability of funds, publishers may apply for grants up to $10,000. Allowable costs are those directly related to the project activities: copyright, pre-publication including translation, printing, and public events. Proposals for public events may include promotional programs, such as book launch ceremonies and speaking engagements with the author (both in person and through video conferences). Allowable costs include travel and accommodation of book authors, advertising associated with a book launch, and costs associated with promoting the translated books at Ukrainian book festivals. We welcome creative programming ideas that will bring the translated books to the attention of target audiences in Ukraine.  
Important notes:  
Â· The program encourages organizations to provide in-kind contributions and/or coordinate funding with other donors. 
Â· We cannot pay for the food and beverages at public outreach events. Those costs are excluded from our awards. 
Â· Costs incurred before the official grant period begins (pre-award costs) will not be reimbursed. 
APPLICATION AND SUBMISSION INFORMATION: 
Period of Performance: This program supports projects up to 12 months in duration. Applications are due July 31, 2024 for consideration. 
Proposed projects should have a start date no earlier than September 1, 2024 and no later than November 1, 2024. 
Note: the start date of the project refers to the date in which the implementers will begin work on the planning and coordination of the translation project. The start date precedes the beginning of the translation and any public events.  
Application Submission Process: Application materials must be submitted by email to KyivPDBookTranslations@state.gov, or KrekotenOV@state.gov (Program coordinator). The subject line of submission emails should follow this format: Book Translation Program: Title of Book, Name of Ukrainian Publisher. 
For assistance with the requirements of this solicitation, please email KyivPDBookTranslations@state.gov, or KrekotenOV@state.gov. Please write in the subject line: Book Translation Program. 
Application Deadline: Applications will be accepted between February 14, 2024 and August 15, 2024, and reviewed on a rolling basis by an Embassy grants committee. 
Application Content and Format: Applicants must follow the instructions and conditions contained herein and supply all information required. 
Failure to furnish all information or comply with stated requirements will result in disqualification from the competition.  
Applicants must set forth full, accurate, and complete information. false or misleading information in an application will result in disqualification from this and future U.S. Government Public Diplomacy Small Grants competitions. 
APPLICATION INSTRUCTIONS 
Applications can be found athttps://ua.usembassy.gov/education-culture/current-programs-grants/. Applications should be submitted in English to KyivBookTranslations@state.gov(please do not use Google Translate or other programs to fill out applications). The application includes: 
Â· Information about the publisher applying, including prior grants received, previous experience with similar projects, and/or organizational capacity. 
Â· Information about partner organizations, if applicable. 
Â· Description of the project, including why the selected book is important and relevant, and who the primary audience is. This also should include marketing and distribution plans, including any public events to promote the book and foster dialogue on its themes. 
Â· Completion dates. If the book is linked to a specific event or date, please note it here.  
Â· A detailed budget using the template provided. The purchase of alcoholic beverages is not permitted under any circumstances. Expenses incurred before the project begins will not be reimbursed.  
REQUIRED ATTACHMENTS 
In addition to the completed application form and continuation sheets, proposals should include the following documents: 
1) If applicable, a complete list of previous grants received within the last five years, whether from the U.S. Government or another donor, including the date, amount, donor, and project theme. 
2) Resumes of key personnel/participants. 
ADDITIONAL REQUIREMENTS FOR ORGANIZATIONS:  
All organizations applying to receive Federal assistance must have a Dun   Bradstreet Number (DUNS), a CCR (NCAGE) number, and an active account with the System for Award Management (SAM.gov) before an award can be made. 
Ukrainian entities registering in SAM must NOT submit a notarized letter appointing their authorized Entity Administrator! 
Please note that process of registration on the SAM.gov portal can take substantial amount of time, so we recommend starting the process as early as possible. 
System for Award Management (SAM) - SAM is a U.S.-government wide registry of vendors doing business with the U.S. federal government and requires annual renewal. The system centralizes information about grant applicants/recipients and provides a central location for grant applicants/recipients to change organizational information. More information about SAM.gov and useful guides for setting-up a new account, updating an existing account, or renewing an expired account can be found at: https://www.statebuy.state.gov/fa/Pages/SAMInfo.aspx 
Foreign-based applicants are strongly encouraged to review these guides when creating an account with SAM.gov. Further, applicants must maintain an active account, with current information, while its application is under consideration for funding. To keep an active SAM.gov account, Applicants must renew it at least once each year. If an account expires, the Organization cannot submit a grant application until it is renewed. 
Only individuals who are authorized to represent a particular entity, or individuals representing themselves as an entity, may register an entity in SAM. Accessing or using SAM, or information contained therein, for any unauthorized or illegal purposes, may have civil and criminal penalties, and may negatively impact the status of the SAM registration maintained for the entity. 
SELECTION CRITERIA: 
Book translation requests for funding provided by the U.S. Embassy should not exceed $10,000.  
The Embassy Public Diplomacy Grants Committee will use the following criteria to evaluate proposals received in response to this funding opportunity:  
Project Plan: A clear overview of the project, including marketing and distribution plans, should be indicated in the proposal. The Embassy Public Diplomacy Grants Committee will closely consider whether the overall objectives lead to improving the spheres of economic, social, and educational reform in Ukraine. Priority will be given to those applicants whose marketing and distribution plans include public events in different regions to promote the book and foster dialogue on its themes. 
Organizational Capacity: Applications must include a clear description of the project management structure staffing plan, as well as previous experience with similar projects. Applicants must demonstrate the ability and commitment to complete the project. 
Budget: Costs should be reasonable and realistic in relation to the project activities. Applicants are encouraged to provide as much detail as possible so that the committee may determine the extent to which the request represents an efficient use of U.S. Government resources. The budget should be consistent with the narrative description of the project and should reflect the applicantâ€™s understanding of the allowable cost principles established by Title 2 CFR 200.306 (part 230) on cost principles for non-profit organizations. 
Cost Sharing: Cost sharing is strongly encouraged; however, it is not a requirement of an application in response to this funding announcement. 
DISCLAIMER 
Applicants can expect to be notified of the status of their application within 60 days of the submission deadline. Issuance of this funding opportunity does not constitute an award commitment on the part of the U.S. Government. It does not commit the U.S. Government to pay for costs incurred in the preparation and submission of proposals. The U.S. Government reserves the right to reject any or all proposals received. If a proposal is selected for funding, the U.S. Embassy in Kyiv has no obligation to provide any additional future funding in connection with the award. The U.S. Government reserves the right to reduce, revise, or increase proposal budgets in accordance with the needs of the project evaluation requirements. 
CONTACT INFORMATION 
Should additional information be required, please contact the U.S. Embassy in Kyiv at KyivPDBookTranslations@state.gov. 
</t>
  </si>
  <si>
    <t>ROSES 2024: A.23 Terrestrial Hydrology</t>
  </si>
  <si>
    <t xml:space="preserve">Please note that this program requests optional Notices of Intent, which are due via NSPIRES by June 27,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</si>
  <si>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A.15 Modeling, Analysis, and Prediction</t>
  </si>
  <si>
    <t xml:space="preserve">Please note that this program requests optional Notices of Intent, which are due via NSPIRES by May 31,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</si>
  <si>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A.34 Earth Science U.S. Participating Investigator</t>
  </si>
  <si>
    <t xml:space="preserve">Please note that this program requests optional Notices of Intent, which are due via NSPIRES by June 14,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</si>
  <si>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D.2 Astrophysics Data Analysis Program</t>
  </si>
  <si>
    <t xml:space="preserve">Please note that this program requests optional Notices of Intent, which are due via NSPIRES by March 28, 2024. See the full posting on NSPIRES for details.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</si>
  <si>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Established Program to Stimulate Competitive Research (EPSCoR):  Workshop Opportunities</t>
  </si>
  <si>
    <t xml:space="preserve">Others (see text field entitled "Additional Information on Eligibility" for clarification) *Who May Submit Proposals: Proposals may only be submitted by the following:
  -
Proposals may be submittedonly from institutions or organizations within EPSCoR-eligible jurisdictions.Eligibility to participate in the EPSCoR Workshop Opportunities program is described on a href= s website .
_x000D_
Within EPSCoR-eligible jurisdictions, proposals may be submitted only by the following:
_x000D_
 _x000D_
 Institutions of higher education (PhD-granting and non-PhD-granting), acting on behalf of their faculty members, that are accredited in and have a campus in the United States, its territories, or possessions. _x000D_
 Non-profit, non-degree-granting domestic U.S. organizations, acting on behalf of their employees, that include (but are not limited to) independent museums and science centers, observatories, research laboratories, professional societies, and similar organizations that are directly associated with the Nation's research or educational activities. These organizations must have an independent, permanent administrative organization (e.g., an office of sponsored research) located in the United States, its territories, or possessions, and have 501(c)(3) tax status. _x000D_
 Tribal Nations: An American Indian or Alaska Native tribe, band, nation, pueblo, village, or community that the Secretary of the Interior acknowledges as a federally recognized tribe pursuant to the Federally Recognized Indian Tribe List Act of 1994, 25 U.S.C.   5130-5131. _x000D_
 </t>
  </si>
  <si>
    <t>The Established Program to Stimulate Competitive Research (EPSCoR) is designed to fulfill the mandate of the National Science Foundation (NSF) to promote scientific progress nationwide. NSF EPSCoR facilitates the establishment of partnerships among academic institutions, government, industry, and non-profit sectors that are designed to promote sustainable improvements in an EPSCoR-eligible jurisdiction s research infrastructure, Research and Development (R D) capacity, and R D competitiveness. Eligibility to participate in NSF EPSCoR funding opportunities, including the EPSCoR Workshop Opportunities program, is described on the EPSCoR website (see criteria for eligibility link).
_x000D_
EPSCoR welcomes proposals for workshops only from institutions within EPSCoR-eligible jurisdictions (i.e. states, territories, commonwealths). These workshops must focus on innovative ways to address multi-jurisdictional efforts on themes of regional or national importance with relevance to the goals and mission of NSF and EPSCoR.</t>
  </si>
  <si>
    <t>Division of Molecular and Cellular Biosciences Core Programs</t>
  </si>
  <si>
    <t>MCB supports research that promises to uncover the fundamental properties of living systems across atomic, molecular, subcellular, and cellular scales. The program gives high priority to projects that advance mechanistic understanding of the structure, function, and evolution of molecular, subcellular, and cellular systems, especially research that aims at quantitative and predictive knowledge of complex behavior and emergent properties. MCB encourages research exploring new concepts in molecular and cellular biology, while incorporating insights and approaches from other scientific disciplines, such as chemistry, computer science, engineering, mathematics, and physics, to illuminate principles that govern life at the molecular and cellular level. MCB also encourages research that exploits experimental and theoretical approaches and utilizes a diverse spectrum of model and non-model animals, plants, and microbes across the tree of life. Proposals that pursue potentially transformative ideas are welcome, even if these entail higher risk.
_x000D_
This solicitation calls for proposals in research areas supported by the four MCB core clusters, including: (i) structure, dynamics, and function of biomolecules and supramolecular assemblies, especially under physiological conditions (Molecular Biophysics); (ii) organization, processing, expression, regulation, and evolution of genetic and epigenetic information (Genetic Mechanisms); (iii) cellular structure, properties, and function across broad spatiotemporal scales (Cellular Dynamics and Function); and (iv) systems and/or synthetic biology to study complex interactions through modeling or manipulation or design of living systems at the molecular-to-cellular scale (Systems and Synthetic Biology). All MCB clusters prioritize projects that integrate across scales, investigate molecular and cellular evolution, synergize experimental research with computational or mathematical modeling, and/or develop innovative, broadly applicable methods and technologies. Projects that bridge the intellectual edges between MCB clusters are welcome. Projects that integrate molecular and cellular biosciences with other subdisciplines of biology are also welcome through the new Integrative Research in Biology (IntBIO) track.
_x000D_
All programs in the Directorate for Biological Sciences striveto achieve key goals laid out in the NSF Strategic Plan. Among these goals are: (i) to empower Science Technology, Engineering, and Mathematics (STEM) talent to fully participate in science and engineering; (ii) to enable creation of new knowledge by advancing the frontiers of research and enhancing research capability; and (iii) to benefit society through translation of knowledge into solutions. In line with these goals, MCB welcomes the submission of proposals to this funding opportunity that include the participation of the full spectrum of diverse talent in STEM, e.g., as PI, co-PI, senior personnel, postdoctoral scholars, graduate or undergraduate students or trainees.  This includes historically under-represented or underserved populations, diverse institutions including Minority Serving Institutions (MSIs), Primarily Undergraduate Institutions (PUIs), and two-year colleges, as well as major research institutions. Proposals from EPSCoR jurisdictions are especially encouraged.MCB has a new track in this solicitation, EXPAND MCB in EPSCoR, that welcomes proposals that build capacity through collaborations led by organizations in EPSCoR jurisdictions.
_x000D_
Also aligned with the NSF Strategic Plan, MCB encourages submission of proposals in support of discovery-based explorations, as well as use-inspired, solutions-focused research, including proposals that address priority areas associated with building a resilient planet and biotechnology and the bioeconomy. Some examples of topics that address priority areas associated with building a resilient planet and biotechnology and the bioeconomy can be found in the life on a warming planet and bioeconomy metaprogram descriptions. The CHIPs Act of 2022 and the Executive Order on Advancing Biotechnology and Biomanufacturing Innovation for a Sustainable, Safe and Secure American Bioeconomy highlight the importance of these two areas with respect to safeguarding national security and promoting prosperity. MCB also strongly encourages proposals that leverage NSF resources to facilitate integration across the biological sciences, such as the National Ecological Observatory Network (NEON), data networks, synthesis centers, and institutes.
_x000D_
Regarding health-related challenges, NSF supports basic research in all areas of the biological sciences and recognizes that this foundational research is likely to impact many different areas, including human health. MCB celebrates all the biological science discoveries funded through MCB awards that have had major impacts on health, environment, energy, food production, and other applications. Nevertheless, research focused exclusively on understanding human diseases and their treatment is normally outside of the scope offunding and will be returned without review unless that research significantly advances other fields such as engineering, computer science, or the mathematical and physical sciences.</t>
  </si>
  <si>
    <t>ROSES 2024: C.17 Planetary Science Enabling Facilities</t>
  </si>
  <si>
    <t>ROSES 2024: C.19 Development and Advancement of Lunar Instrumentation Program</t>
  </si>
  <si>
    <t>ROSES 2024: A.58 Increasing Participation of Minority Serving Institutions in Earth Science Surface-Based Measurement Networks</t>
  </si>
  <si>
    <t>ROSES 2024: B.4 Heliophysics Guest Investigator Open</t>
  </si>
  <si>
    <t xml:space="preserve">NOTICE: Amended March 26, 2024. New Horizons datasets are now in scope for this program element, see Section 1.1. New text is in bold. The due dates remain unchanged: Step-1 proposals are due May 23, 2024, and Step-2 proposals are due August 1, 2024. 
The close date above is the date for the Step-1 proposal submission. See the solicitation for the Step-2 due date. Step-2 proposals cannot be submitted if a Step-1 proposal was not submitted.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</si>
  <si>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ACED: Accelerating Computing-Enabled Scientific Discovery</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</si>
  <si>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Interdisciplinary teams are expected to include at least one researcher from a CISE discipline and one researcher from another NSF discipline.
_x000D_
By the submission deadline, any PI or co-PI must hold either:
_x000D_
 ul type= _x000D_
 a tenured or tenure-track position,or _x000D_
 _x000D_
 ul type= _x000D_
 a primary, full-time, paid appointment in a research or teaching position _x000D_
 _x000D_
Be at a US-based campus of an organization eligible to submit to this solicitation (see above), with exceptions granted for family or medical leave, as determined by the submitting organization. Individuals withprimaryappointments at for-profit non-academic organizations or at overseas branch campuses of US IHEs are not eligible.</t>
  </si>
  <si>
    <t>The ACED program seeks to harness computing to accelerate scientific discovery, while driving new computing advancements. The intent is to catalyze advancements on both sides of a virtuous cycle that: (a) benefit scientific disciplines through computational technologies and (b) foster novel computing technologies that will enable advances beyond the specific use cases or domains originally targeted. The program seeks continuous collaborations between at least two groups of researchers. One group is expected to consist of researchers in computing, which, for the purposes of this solicitation are those disciplines that are supported by the Core Programs of National Science Foundation s (NSF) Computer and Information Science and Engineering (CISE) directorate. The other group of researchers are expected to represent another scientific or engineering discipline, which, for the purposes of this solicitation, are defined as those supported within existing programs of the following NSF directorates: Biological Sciences, Engineering, or Mathematical and Physical Sciences.
_x000D_
The ACED program solicits proposals in two tracks:
_x000D_
Track I: Emerging Ideas Proposals:This track is intended to support speculative multidisciplinary projects that explore bold new research directions. The goal of these projects should be to obtain preliminary results, refine the overall research plan based on these results, and garner insights into whether these advances generalize beyond the targeted use case or domain. Projects are limited to $500,000 in total budget, with durations of up to 18-24 months. Proposals accepted in 2024 Deadline Date.
_x000D_
Track II: Discovery Proposals: The objective of this track is to support transformative interdisciplinary research that will significantly advance both computing and the scientific discipline(s) to be studied. Proposals should clearly identify the scientific problem(s) to be addressed; the specific computing techniques to be developed; and be supported by preliminary collaborations and/or results that demonstrate the potential of the proposed ideas. Projects are limited to $750,000 per year for a duration of up to 4 years for a total budget of up to $3,000,000. Proposals accepted in 2025-2026 Deadline Dates.</t>
  </si>
  <si>
    <t>ROSES 2024: A.42 Earth Action: Disaster Risk Reduction, Recovery, and Resilience</t>
  </si>
  <si>
    <t>ROSES 2024: C.13 Maturation of Instruments for Solar System Exploration</t>
  </si>
  <si>
    <t>ROSES 2024: C.10 Cassini Data Analysis Program</t>
  </si>
  <si>
    <t xml:space="preserve">The close date above is the date for the Step-1 proposal submission. See the solicitation for the Step-2 due date. Step-2 proposals cannot be submitted if a Step-1 proposal was not submitted.   Proposers must retrieve the instructions document (zip file) associated with the application package for this opportunity as there is at least one required form that must be attached to the submitted proposal package.   The National Aeronautics and Space Administration (NASA) Science Mission Directorate (SMD) released its annual omnibus Research Announcement (NRA), Research Opportunities in Space and Earth Sciences (ROSES) â€“ 2024 (OMB Approval Number 2700-0092, CFDA Number 43.001) on February 14, 2024. In this case "omnibus" means that this NRA has many individual program elements, each with its own due dates and topics. All together these cover the wide range of basic and applied supporting research and technology in space and Earth sciences supported by SMD. Awards will be made as grants, cooperative agreements, contracts, and inter- or intra-agency transfers, depending on the nature of the work proposed, the proposing organization, and/or program requirements. However, most extramural research awards deriving from ROSES will be grants, and many program elements of ROSES specifically exclude contracts, because contracts would not be appropriate for the nature of the work solicited. The typical period of performance for an award is three years, but some programs may allow up to five years and others specify shorter periods. In most cases, organizations of every type, Government and private, for profit and not-for-profit, domestic and foreign (with some caveats), may submit proposals without restriction on teaming arrangements. Tables listing the program elements and due dates (Tables 3), a table that provides a very top level summary of proposal contents (Table 1), and the full text of the ROSES-2024 "Summary of Solicitation", may all be found NSPIRES at http://solicitation.nasaprs.com/ROSES2024.   This synopsis is associated with one of the individual program elements within ROSES, but this is a generic summary that is posted for all ROSES elements. For specific information on this particular program element download and read the PDF of the text of this program element by going to Tables of this NRA at http://solicitation.nasaprs.com/ROSES2024table3, respectively, click the title of the program element of interest, a hypertext link will take you to a page for that particular program element. On that page, on the right side under "Announcement Documents" the link on the bottom will be to the PDF of the text of the call for proposals. For example, if one were interested in The Lunar Data Analysis Program (NNH24ZDA001N-LDAP) one would follow the link to the NSPIRES page for that program element and then to read the text of the call one would click on â€œC.8 Lunar Data Analysis Program (.pdf)â€ to download the text of the call. If one wanted to set it into the context of the goals, objectives and know the default rules for all elements within Appendix C, the planetary science division, one might download and read â€œC.1 Planetary Science Research Program Overview (.pdf)â€ from that same page. While the letters and numbers are different for each element within ROSES (A.12, B.7, etc.) the basic configuration is always the same, e.g., the letter indicates the Science Division (A is Earth Science, B is Heliophysics etc.) and whatever the letter, #1 is always the division overview.    Frequently asked questions for ROSES are posted at http://science.nasa.gov/researchers/sara/faqs. Questions concerning general ROSES-2024 policies and procedures may be directed to Max Bernstein, Lead for Research, Science Mission Directorate, at sara@nasa.gov, but technical questions concerning specific program elements should be directed to the point(s) of contact for that particular element, who may be found either at the end of the individual program element in the summary table of key information or on the web list of topics and points of contact at: http://science.nasa.gov/researchers/sara/program-officers-list.   Not all program elements are known at the time of the release of ROSES. To be informed of new program elements or amendments to this NRA, proposers may subscribe to: (1) The SMD mailing lists (by logging in at http://nspires.nasaprs.com and checking the appropriate boxes under "Account Management" and "Email Subscriptions"), (2) The ROSES-2024 blog feed for amendments, clarifications, and corrections to at https://science.nasa.gov/researchers/solicitations/roses-2024/, and (3) The ROSES-2024 due date Google calendars (one for each science division). Instructions are at (link from the words due date calendar). </t>
  </si>
  <si>
    <t>ROSES 2024: C.21 Yearly Opportunities for Research in Planetary Defense</t>
  </si>
  <si>
    <t>Advancements in Artificial Intelligence for Science</t>
  </si>
  <si>
    <t>Unrestricted (i.e., open to any type of entity above), subject to any clarification in text field entitled "Additional Information on Eligibility" All types of applicants are eligible to apply, except nonprofit organizations described in section 501(c)(4) of the Internal Revenue Code of 1986 that engaged in lobbying activities after December 31, 1995.</t>
  </si>
  <si>
    <t>The DOE SC program in Advanced Scientific Computing Research (ASCR) hereby announces its interest in basic computer science and applied mathematics research in the fundamentals of Artificial Intelligence (AI) for science. Specifically, advancements in this area are sought that can enable the development of: 
Â· Foundation models for computational science; 
Â· Automated scientific workflows and laboratories; 
Â· Scientific programming and scientific-knowledge-management systems; 
Â· Federated and privacy-preserving training for foundation and other AI models for science; and 
Â· Energy-efficient AI algorithms and hardware for science. 
The development of new AI techniques applicable to multiple scientific domains can accelerate progress, increase transparency, and open new areas of exploration across the scientific enterprise. 
SUPPLEMENTARY INFORMATION 
AI is one of the most powerful technologies of our time[1] and DOE is at the forefront of research and development in AI technologies for enabling scientific discovery and innovation. Core components of the scientific method remain unchanged: Observation, Hypothesis, Experiments, and Analysis. However, DOE recognizes that abundant sources of data, high-performance computing (HPC) and networking, energy-efficient algorithms, and AI-related technologies can be harnessed to significantly accelerate and expand the impact of scientific research. The breadth of applications spans climate science, cybersecurity and electric grid resilience, biotechnology, microelectronics, disaster response, and beyond. Research to address national priorities will require advances and AI innovations in high-level capabilities such as: monitoring and predicting the onset of real-world anomalies and extreme events; adaptive strategies to control the real-time behavior of complex systems, infrastructure, and processes; approaches for the optimal development and design of physical systems; decision-support for planning, risk, and policy formulation; and tools that synthesize scientific knowledge and accelerate the design, manufacturing, testing, and optimization of new technologies. The focus of ASCR research and development investments is on the underlying approaches for AI-enhanced scientific and engineering capabilities and to significantly transform the scientific method for accelerated discovery and innovation. 
Realizing the next generation of AI for science will require innovations in both hardware and algorithms. Future AI-enabled scientific workflows are expected to use Machine Learning (ML) to enhance numerical modeling and data analysis along with technologies that process natural and computer-programming languages. DOEâ€™s exascale supercomputers[2] are some of the Nationâ€™s most powerful systems for large-scale AI training and for tasks integrating AI, modeling, simulation, and data analysis. These exascale and future systems complement the vast array of other AI-enabled HPC and edge systems, including automated laboratories and facilities, that will significantly accelerate scientific progress in the coming decades.  
DOEâ€™s scientific community has collectively articulated important research directions toward 
realizing the promise of AI for science and other DOE missions in the recently-released AI For Science, Energy, and Security report [1], building on the preceding AI for Science report [2], and complementing the report on Opportunities and Challenges from Artificial Intelligence and Machine Learning for the Advancement of Science, Technology, and the Office of Science Missions [3]. The research directions highlighted in these reports, and others, appear prominently in the National Artificial Intelligence Research and Development Strategic Plan [4]. This FOA addresses a broad spectrum of research priorities described in these documents that are critical to enabling trustworthy AI for scientific applications advancing human understanding and addressing national needs. 
 [1] For additional background on the promise and importance of AI R D, see the OMB/OSTP Memorandum on Multi-Agency Research and Development Priorities for the FY 2025 Budget (August 2023) https://www.whitehouse.gov/wp-content/uploads/2023/08/FY2025-OMB-OSTP-RD-Budget-Priorities-Memo.pdf, and the Executive Order on the Safe, Secure, and Trustworthy Development and Use of Artificial Intelligence (October 2023) https://www.whitehouse.gov/briefing-room/presidential-actions/2023/10/30/executive-order-on-the-safe-secure-and-trustworthy-development-and-use-of-artificial-intelligence/ 
[2] For more information on ASCRâ€™s exascale supercomputers, and other HPC resources, available as national user facilities, see https://science.osti.gov/ascr/Facilities/User-Facilities</t>
  </si>
  <si>
    <t>Open Measurement Coordinating Network for Non-Pharmacological Alzheimer's Disease (AD) and AD-Related Dementias (ADRD) Primary Prevention Trials (U24 Clinical Trail Not Allowed)</t>
  </si>
  <si>
    <t>This Notice of Funding Opportunity (NOFO) invites U24 Cooperative Agreement applications that propose to establish a national Open Measurement Coordinating Network for Non-Pharmacological Alzheimer's Disease (AD) and AD-Related Dementias (ADRD) Primary Prevention Trials. The Network will serve as a centralized hub for developing, validating, standardizing, and disseminating measures and measurement methods for AD/ADRD primary prevention trials. It will incorporate measures and measurement methods across neuropsychological, biomarker, and functional domains to meet the goal of primary prevention of AD/ADRD centered around brain health equity.</t>
  </si>
  <si>
    <t>U.S. Embassy Santiago Public Diplomacy Annual Program Statement</t>
  </si>
  <si>
    <t>DOS-CHL</t>
  </si>
  <si>
    <t>U.S. Mission to Chile</t>
  </si>
  <si>
    <t>Public and State controlled institutions of higher education The Public Diplomacy Section welcomes applications from U.S. and Chilean:_x000D_
  Registered not-for-profit organizations, including think tanks and civil society/non- governmental organizations with programming experience,_x000D_
  Individuals, or_x000D_
  Non-profit or governmental educational institutions.</t>
  </si>
  <si>
    <t>The U.S. Department of State provides funding for well-conceived projects that support U.S. Embassy Santiagoâ€™s strategic priorities in Chile. All proposed projects should strengthen bilateral ties between the United States and Chile and include a clear U.S. element that will promote increased understanding of the United States among the Chilean public. They may include U.S. expert(s), organization(s), or institution(s) in a specific field that will promote increased understanding of U.S. policy and perspectives.Proposals should address one or more of the following priority program objectives:â€¢ Bolster Free and Independent Media: Chilean journalists and students, acquire new skills and tools to recognize and mitigate the spread of disinformation and online violence, as well as reduce vulnerability to unreliable news sources.â€¢ Advance Social and Economic Inclusion: Chilean civil society and government advance the rights of and opportunities for marginalized and vulnerable communities, including women, indigenous and African descendant Chileans, and immigrants, in order to promote more stable and sustainable social and economic conditions.â€¢ Promote Partnerships for Climate Action: Strengthened partnerships among different stakeholders including civil society, academia, business, and government increase citizen participation in climate action, in order to build climate resilience and help Chile lead alongside the United States in the region.</t>
  </si>
  <si>
    <t>Distributed Array of Small Instruments</t>
  </si>
  <si>
    <t>Others (see text field entitled "Additional Information on Eligibility" for clarification) *Who May Submit Proposals: Proposals may only be submitted by the following:
  -For-profit organizations: U.S.-based commercial organizations, including small businesses, with strong capabilities in scientific or engineering research or education and a passion for innovation.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-Tribal Nations: An American Indian or Alaska Native tribe, band, nation, pueblo, village, or community that the Secretary of the Interior acknowledges as a federally recognized tribe pursuant to the Federally Recognized Indian Tribe List Act of 1994, 25 U.S.C.   5130-5131.</t>
  </si>
  <si>
    <t>The Distributed Array of Small Instruments (DASI) solicitation is designed to address the increasing need for high spatial and temporal resolution measurements to determine the local, regional, and global scale processes that are essential for addressing the fundamental questions insolar and space physics. This solicitation will be formally divided into two tracks: 1) development of instrumentation for future deployment in arrays and 2) deployment and operation of existing instruments in distributed arrays.This DASI solicitation emphasizes both strong scientific merit and a well-developed plan for student training and involvement of a diverse workforce.</t>
  </si>
  <si>
    <t>Sexually Transmitted Infections (STI) Surveillance Network (SSuN) Cycle 5</t>
  </si>
  <si>
    <t>HHS-CDC-NCHHSTP</t>
  </si>
  <si>
    <t>Centers for Disease Control - NCHHSTP</t>
  </si>
  <si>
    <t>Unrestricted (i.e., open to any type of entity above), subject to any clarification in text field entitled "Additional Information on Eligibility" Applicants must apply for at least one of the two core strategies (A or B or both) of this NOFO. Applicants proposing any Strategy C activity but not proposing either or both core strategies (Strategy A and/or Strategy B) will be considered non-responsive and will not receive further review.Applicants must provide documentary evidence (e.g., letter of support, MOA or MOU) from the designated Overall Responsible Party (ORP) for HIV surveillance in their jurisdiction. A MOU or MOA is preferred but LOSs are acceptable if there isn t sufficient time to execute a formal MOU/MOA.  Documentary evidence should clearly demonstrate the collaboration and the ability to match, based on name, their STI clinic patient census and/or reported cases of gonorrhea and syphilis (all stages) with the jurisdiction s HIV case registry. Access to the jurisdiction s HIV case registry (eHARS or similar proxy) is critical to successfully implement the required program strategies, either through the applicant agency s internal systems or through agreements with relevant health department entities. This requirement applies to Strategy A and/or Strategy B applications. Name this signed letter   and upload as an attachment with the application package at www.grants.gov.  Applicants failing to provide documentary evidence from the jurisdiction's ORP for HIV surveillance will be considered non-responsive and will not receive further review.  Please note: Sections 317 and 318 of the Public Health Service Act authorize funding to States, political subdivisions of States, and any other public and nonprofit private entities, but do not authorize awards to for-profit entities.</t>
  </si>
  <si>
    <t>CDC announces availability of fiscal year 2024 funding for a cooperative agreement for Cycle 5 of the STI Surveillance Network (SSuN). Continuing resurgence of sexually transmitted infections (STIs), along with the imperative to implement syndemic approaches to disease surveillance addressing related epidemics such as Human Immunodeficiency Virus (HIV) and mpox (Orthopox virus previously referred to as monkeypox) inform this competitive Notice of Funding Opportunity (NOFO) which will support integrated sentinel and enhanced surveillance at the local, state, and national level. Emergent issues of concern such as mpox and antimicrobial resistant STIs add urgency to the maintenance of robust syndemic surveillance at the community level and in sexual health clinical settings. The purpose of this NOFO is to support sentinel and enhanced surveillance for STIs providing complete demographics, behavioral risk, clinical and preventive services data missing in routine reporting. Sentinel clinic surveillance, enhanced investigations of reported cases, and special projects funded by this NOFO will provide epidemiologic and preventive services information filling gaps in knowledge regarding STI prevention priorities. These data improve the ability of public health agencies to address STI/HIV health equity outcomes and syndemic interactions in populations with shared risks.This NOFO supports two core strategies for (A) sentinel surveillance in STI/sexual health clinical facilities, and (B) enhanced case-based surveillance in community settings and one supplemental strategy (Strategy C) for special surveillance projects of national or local interest.  Both core strategies integrate a syndemic approach to monitoring STIs, HIV, behavioral data, and on preventive services accessed by all persons presenting for care in sexual health settings, and persons diagnosed and reported with selected STIs from all provider settings in defined geographic areas. The goal of this NOFO is to monitor and report trends in patient characteristics, screening, and diagnoses to identify opportunities and gaps across the STI/HIV prevention and surveillance continuum. Protocols are designed to address critical information gaps in routine national case reporting and incorporate local flexibility to respond to emergent health issues by supporting a network of geographically diverse health departments and an expanded network of clinical partners. These efforts complement existing state, local and national surveillance strategies and enhance the capacity of health departments to collect high-quality, timely data to inform disease prevention and control activities.</t>
  </si>
  <si>
    <t>DE-FOA-0003209 Regional Resource Hubs for Purpose-Grown Energy Crops</t>
  </si>
  <si>
    <t>Native American tribal organizations (other than Federally recognized tribal governments) DOE/NNSA FFRDCs, with the exception of Idaho National Laboratory, are eligible to apply for funding as a subrecipient but are not eligible to apply as a prime recipient. _x000D_
_x000D_
Due to INL s role as Initiative Coordinator and involvement in FOA strategy discussions, INL is not eligible to apply for funding as a Prime Recipient under the FOA and may not be proposed as a Subrecipient on another entity s application. Any application that includes INL as a Prime Recipient or Subrecipient will be deemed ineligible, non-responsive, and will not be further considered.</t>
  </si>
  <si>
    <t>Amendment 000001 - The FOA has been amended in sections I.B. and Appendix H.  The amended FOA is viewable at EERE-Exchange.energy.gov._x000D_
_x000D_
Significant RD&amp;D is required to reach the goal of affordable, low-carbon intensity transportation fuels and chemical products. The RD&amp;D activities to be funded under this FOA will support the government-wide approach to addressing the climate crisis by driving innovation and deployment of clean energy technologies._x000D_
_x000D_
The 2024 Regional Resource Hubs for Purpose-Grown Energy Crops FOA supports the focus of the BETO Renewable Carbon Resources Program in developing strategies and supporting technology development to reduce the cost, improve the quality, increase the quantity, and maximize the environmental benefits of using renewable carbon resources. The FOA addresses enabling the mobilization of low carbon intensity purpose-grown energy crops across varied agronomic and geographic landscapes through the generation of data and research findings. The FOA seeks applications that will support resource mobilization, including improvements to quality, yield, cost, mechanization of propagation/planting systems, pest management, carbon intensity reduction, ecosystem services, and more from the cultivation of purpose-grown energy crops. Data generated over the course of four to ten years will be used to improve modeling projections, adapt crops and/or crop management strategies to address varying climates, understand variations in soil and belowground carbon storage, quantify ecosystem services, and reduce the carbon intensity for specified purpose-grown energy crop systems. There is a single Topic Area in this FOA with four Subtopic Areas, each focusing on different feedstock categories._x000D_
_x000D_
The Topic Area in this FOA seeks to address the following R&amp;D needs:_x000D_
_x000D_
Topic Area 1:  Purpose-Grown Energy Crops_x000D_
The objective this Topic Area is to fund projects that will enable the mobilization of low carbon intensity purpose-grown energy crops across varied agronomic and geographic landscapes through the generation of data and research findings. Each application selected from this FOA will become a member of the larger Regional Biomass Resource Hub Initiative (RBRH) that will work together with BETOâ€™s established Regional Resource Hub Initiative Coordinator, Idaho National Laboratory (INL), to coordinate experimental plans, report data, and collectively achieve the FOA and Initiative objectives. Each submitted application must specify only one of the following Subtopic Areas.  _x000D_
_x000D_
Subtopic Area 1a.  Algae_x000D_
The objective of Subtopic Area 1a is to support projects that seek to cultivate and harvest as much algae from their given system(s) as possible each year for at least three years. The deliberate cultivation of algae with non-potable water, including all types of microalgae, cyanobacteria, and macroalgae, and algae grown to treat wastewaters is of interest. _x000D_
_x000D_
Subtopic Area 1b:  Herbaceous Energy Crops_x000D_
Subtopic Area 1b is centered on enhancing the mobilization of low-carbon intensity herbaceous energy crops across varied agronomic landscapes. For the purposes of Subtopic Area 1b, â€œherbaceous energy cropsâ€ is defined as perennial plants and grasses that live for more than two years and are harvested annually after taking two to three years to reach full productivity. Examples of herbaceous energy crops include, but are not limited to, switchgrass, miscanthus, high-biomass sorghum, wheatgrass, and energycane._x000D_
_x000D_
Subtopic Area 1c:  Intermediate Energy Crops_x000D_
For the purposes of Subtopic Area 1c, â€œintermediate energy cropsâ€ are defined as crops planted between the harvest of a main crop and sowing of the next crop. Typically grown for environmental benefits such as increasing soil carbon or reducing nutrient leaching and soil erosion, intermediate energy crops have the additional potential to be harvested for conversion into low carbon intensity fuels and products. _x000D_
_x000D_
Subtopic Area 1d:  Short-Rotation Woody Crops_x000D_
Subtopic Area 1d is focused on enhancing the mobilization of short-rotation woody crops across various geographic landscapes by performing regional field trials to examine long term yield and sustainability. For the purposes of Subtopic Area 1d, â€œshort-rotation woody cropsâ€ is defined as fast-growing trees that are harvested within five to eight years of planting. Such trees include, but may not be limited to, species such as, hybrid poplar and shrub willow._x000D_
_x000D_
Please note: Due to INLâ€™s role as Initiative Coordinator and involvement in FOA strategy discussions, INL is not eligible to apply for funding as a Prime Recipient under the FOA and may not be proposed as a Subrecipient on another entityâ€™s application. Any application that includes INL as a Prime Recipient or Subrecipient will be deemed ineligible, non-responsive, and will not be further considered._x000D_
_x000D_
Please view the full Funding Opportunity Announcement at EERE-Exchange.energy.gov._x000D_
_x000D_
Questions regarding the FOA must be submitted to FY24RRHCropsFOA@ee.doe.gov._x000D_
_x000D_
The required Concept Paper due date for this FOA is 3/14/2024 at 5PM ET. The Full Application due date for this FOA is 06/13/2024 at 5PM ET.</t>
  </si>
  <si>
    <t>General Social Survey Competition</t>
  </si>
  <si>
    <t>The General Social Survey (GSS) is a nationally representative interview survey of the United States adult population that collects data on a wide range of topics: behavioral items such as group membership and participation; personal psychological evaluations including measures of well-being, misanthropy and life satisfaction; attitudinal questions on such public issues as crime and punishment, race relations, gender roles and spending priorities; and demographic characteristics of respondents and their parents. The GSS has provided data on contemporary American society since 1972, serving as a barometer of social change and trends in attitudes, behaviors and attributes of the United States adult population. In 1984, the GSS stimulated cross-national research by collaborating with Australia, Britain and Germany to develop data collection programs modeled on the GSS. This program of comparative cross-national research, called the International Social Survey Program (ISSP), now includes 43 nations and enables researchers and analysts to place findings and trends from the United States within a comparative context.
_x000D_
Since its inception, the GSS has completed 34 in-person, cross-sectional surveys of the adult household population of the United States with response rates that exceed 50 percent. The survey is currently fielded biennially. Data from the GSS are made available to scholars, students and the public for research, analysis and educational activities within 12 months of data collection.
_x000D_
Several innovations have been initiated over the past 15 years, most of which warrant continuation. Most significantly, the GSS has been exploring a substantial use of web mode while maintaining the integrity of the time series. The 2022 and 2024 surveys used web mode in various combinations with face-to-face administration for purposes of testing and comparison. A collaboration with the American National Election Studies (ANES) was initiated for the 2020 election and continued for the 2024 election. Other innovations are linkages with administrative data made possible by asking respondents for permission (since 2018) and use of post-stratification weights (since 2020).
_x000D_
The Research Infrastructure in the Social and Behavioral Sciences Program (RISBS) in the Directorate for Social, Behavioral and Economic Sciences expects to make one award for the next four-year funding cycle, fiscal years 2025-2028, to support the 2026 and 2028 GSS and the U.S. component of the ISSP survey. We anticipate an award in the range of $14 million and at most $16 million over four years to support two waves of data collection, dissemination activities, and outreach. The expected starting date is August 2025.</t>
  </si>
  <si>
    <t>Multi-Scale Models Bridging Levels of Analysis in Aging and Alzheimer's Disease (AD) and AD-Related Dementias (ADRD) (R01 Clinical Trial Not Allowed)</t>
  </si>
  <si>
    <t>The purpose of this funding opportunity is to invite applications proposing to establish multi-scale computational models recapitulating dynamic changes associated with aging and Alzheimers disease and Alzheimers disease-related dementias (AD/ADRD). This broad scope encompasses a variety of computational approachessuch as mathematical and computational modeling, image analysis, artificial intelligence, and machine learningto better understand aging processes and AD/ADRD across molecules, cells and networks, and cognition and behavior.</t>
  </si>
  <si>
    <t>Slip-on Tanker Units</t>
  </si>
  <si>
    <t>Others (see text field entitled "Additional Information on Eligibility" for clarification) Eligibility is restricted to U.S. local governments that provide fire protection and other emergency services and are in need of slip-on tankers to improve the wildland firefighting readiness for their area of protection and service a location with a population of 25,000 or less.  Additional details are found in the full announcement.</t>
  </si>
  <si>
    <t>Climate change is driving the devastating intersection of extreme heat, drought, and wildland fire danger across the United States, creating wildfires that move with a speed and intensity previously unseen. This has created conditions in which wildfires overwhelm response capabilities, resulting in billions of dollars in economic losses, damage to natural resources, devastation to communities, and the tragic loss of human life. The Infrastructure Investment and Jobs Act, also known as the Bipartisan Infrastructure Law (BIL), enacted in November 2021, is bringing much-needed support to communities across the country to increase the resilience of lands facing the threat of wildland fires and to better support federal wildland firefighters. The BIL provides funding and authorizes the U.S. Department of the Interior (DOI) to develop and implement a pilot program to provide local governments with financial assistance to acquire slip-on tanker units to establish fleets of vehicles that can be quickly converted to be operated as fire engines. The objective of this opportunity is to provide funding for these units that meet the required minimum specifications as outlined in Attachment 1.</t>
  </si>
  <si>
    <t>U.S.  Embassy Bujumbura Public Diplomacy Section (PDS) Annual Program Statement</t>
  </si>
  <si>
    <t>DOS-BDI</t>
  </si>
  <si>
    <t>U.S. Mission to Burundi</t>
  </si>
  <si>
    <t>Others (see text field entitled "Additional Information on Eligibility" for clarification) 1.Eligible Applicants_x000D_
_x000D_
The Public Diplomacy Section encourages applications from U.S. and Burundian entities:_x000D_
  Registered not-for-profit organizations, including think tanks and civil society/non-governmental organizations with programming experience and_x000D_
  Non-profit or governmental educational institutions_x000D_
_x000D_
2.Cost Sharing or Matching _x000D_
_x000D_
Cost sharing is not required._x000D_
_x000D_
3.Other Eligibility Requirements_x000D_
_x000D_
Applicants are only allowed to submit one proposal per organization. If more than one proposal is submitted from an organization, all proposals from that institution will be considered ineligible for funding._x000D_
_x000D_
In order to be eligible to receive an award, all organizations must have a Unique Entity Identifier (UEI) number issued via www.SAM.gov as well as a valid registration on www.SAM.gov. Organizations should go to SAM.gov to complete their registration, a UEI will be generated as part of the SAM.gov registration process.</t>
  </si>
  <si>
    <t>The U.S. Embassy Burundi Public Diplomacy Section (PDS) of the U.S. Department of State is pleased to announce an open competition for organizations to submit applications to carry out a program or project with funding through the Public Diplomacy Small Grants Program. This is an Annual Program Statement, outlining our funding priorities, the strategic themes we focus on, and the procedures for submitting requests for funding. Please carefully follow all instructions below.Purpose of Small Grants: PDS Bujumbura invites proposals for programs that strengthen ties between the United States and Burundi through cultural and exchange programming that highlights shared values and promotes bilateral cooperation. All programs must include an American element, priority, goal, or a connection with U.S. expert(s), organization(s), or institution(s), in a specific field that will promote increased understanding of U.S. policy and perspectives. Applicants are strongly encouraged to partner with English Clubs, American Spaces, or U.S. exchange program alumni to conduct activities.</t>
  </si>
  <si>
    <t>Catalyzing Innovative Research for Circular Use of Long-Lived Advanced Rechargeables (CIRCULAR)</t>
  </si>
  <si>
    <t>Unrestricted (i.e., open to any type of entity above), subject to any clarification in text field entitled "Additional Information on Eligibility" See Section III.A. of the FOA</t>
  </si>
  <si>
    <t>Agency Description:_x000D_
The Advanced Research Projects Agency â€“ Energy (ARPA-E), an organization within the Department of Energy (DOE), is chartered by Congress in the America COMPETES Act of 2007 (P.L. 110-69), as amended by the America COMPETES Reauthorization Act of 2010 (P.L. 111-358), as further amended by the Energy Act of 2020 (P.L. 116-260):_x000D_
â€œ(A) to enhance the economic and energy security of the United States through the development of energy technologies thatâ€”_x000D_
(i) reduce imports of energy from foreign sources;_x000D_
(ii) reduce energy-related emissions, including greenhouse gases;_x000D_
(iii) improve the energy efficiency of all economic sectors; _x000D_
(iv) provide transformative solutions to improve the management, clean-up, and disposal of radioactive waste and spent nuclear fuel; and_x000D_
(v) improve the resilience, reliability, and security of infrastructure to produce, deliver, and store energy; and_x000D_
(B) to ensure that the United States maintains a technological lead in developing and deploying advanced energy technologies.â€_x000D_
_x000D_
ARPA-E issues this Funding Opportunity Announcement (FOA) under its authorizing statute codified at 42 U.S.C. Â§ 16538. The FOA and any cooperative agreements or grants made under this FOA are subject to 2 C.F.R. Part 200 as supplemented by 2 C.F.R. Part 910._x000D_
	_x000D_
ARPA-E funds research on, and the development of, transformative science and technology solutions to address the energy and environmental missions of the Department. The agency focuses on technologies that can be meaningfully advanced with a modest investment over a defined period of time in order to catalyze the translation from scientific discovery to early-stage technology. For the latest news and information about ARPA-E, its programs and the research projects currently supported, see: http://arpa-e.energy.gov/._x000D_
_x000D_
ARPA-E funds transformational research. Existing energy technologies generally progress on established â€œlearning curvesâ€ where refinements to a technology and the economies of scale that accrue as manufacturing and distribution develop drive improvements to the cost/performance metric in a gradual fashion. This continual improvement of a technology is important to its increased commercial deployment and is appropriately the focus of the private sector or the applied technology offices within DOE.  In contrast, ARPA-E supports transformative research that has the potential to create fundamentally new learning curves. ARPA-E technology projects typically start with cost/performance estimates well above the level of an incumbent technology. Given the high risk inherent in these projects, many will fail to progress, but some may succeed in generating a new learning curve with a projected cost/performance metric that is significantly better than that of the incumbent technology._x000D_
_x000D_
ARPA-E funds technology with the potential to be disruptive in the marketplace. The mere creation of a new learning curve does not ensure market penetration. Rather, the ultimate value of a technology is determined by the marketplace, and impactful technologies ultimately become disruptive â€“ that is, they are widely adopted and displace existing technologies from the marketplace or create entirely new markets. ARPA-E understands that definitive proof of market disruption takes time, particularly for energy technologies. Therefore, ARPA-E funds the development of technologies that, if technically successful, have clear disruptive potential, e.g., by demonstrating capability for manufacturing at competitive cost and deployment at scale. _x000D_
 _x000D_
ARPA-E funds applied research and development. The Office of Management and Budget defines â€œapplied researchâ€ as an â€œoriginal investigation undertaken in order to acquire new knowledgeâ€¦directed primarily towards a specific practical aim or objectiveâ€ and defines â€œexperimental developmentâ€ as â€œcreative and systematic work, drawing on knowledge gained from research and practical experience, which is directed at producing new products or processes or improving existing products or processes.â€  Applicants interested in receiving financial assistance for basic research (defined by the Office of Management and Budget as â€œexperimental or theoretical work undertaken primarily to acquire new knowledge of the underlying foundations of phenomena and observable factsâ€)  should contact the DOEâ€™s Office of Science (http://science.energy.gov/). Office of Science national scientific user facilities (http://science.energy.gov/user-facilities/) are open to all researchers, including ARPA-E Applicants and awardees. These facilities provide advanced tools of modern science including accelerators, colliders, supercomputers, light sources and neutron sources, as well as facilities for studying the nanoworld, the environment, and the atmosphere. Projects focused on early-stage R&amp;D for the improvement of technology along defined roadmaps may be more appropriate for support through the DOE applied energy offices including: the Office of Energy Efficiency and Renewable Energy (http://www.eere.energy.gov/), the Office of Fossil Energy and Carbon Management (https://www.energy.gov/fecm/office-fossil-energy-and-carbon-management), the Office of Nuclear Energy (http://www.energy.gov/ne/office-nuclear-energy), and the Office of Electricity (https://www.energy.gov/oe/office-electricity)._x000D_
 _x000D_
FOA Description: _x000D_
According to the U.S. Environmental Protection Agency (EPA), a circular economy â€œrefers to an economy that uses a systems-focused approach and involves industrial processes and economic activities that are restorative or regenerative by design, enables resources used in such processes and activities to maintain their highest value for as long as possible, and aims for the elimination of waste through the superior design of materials, products, and systems.â€ Further, â€œa circular economy reduces material use, redesigns materials, products, and services to be less resource intensive, and recaptures â€˜wasteâ€™ as a resource to manufacture new materials and products.â€ Successfully achieving a circular economy requires implementing the above principles to the supply chains of numerous products._x000D_
_x000D_
Specifically, creating a circular EV battery supply chain focuses on optimizing the full vehicle life cycle. Thus, the emphasis must shift from production and sales within an ownership model to a model focusing on customersâ€™ mobility needs and access in the form of leasing, as it exists today, vehicle-on-demand (e.g., ZipcarÂ®), and mobility-on-demand (e.g., robotaxis).  These different business models may coexist but will require increasing collaboration and transparency among different actors, while costs and revenues will be distributed across the supply chain._x000D_
_x000D_
A circular supply chain offers new revenue streams and business opportunities by providing services to maximize EVsâ€™ lifetime performance through:_x000D_
â€¢	Enhancing regular predictive maintenance;_x000D_
â€¢	Repairing and remanufacturing of battery modules and packs;_x000D_
â€¢	Improving the reuse and recovery of EOL parts and materials; and_x000D_
â€¢	Minimizing carbon footprint and maximizing resource efficiency._x000D_
_x000D_
A circular supply chain also offers opportunities to reduce production and operating costs by:_x000D_
â€¢	Improving the quality and stability of critical mineralsâ€™ supply chains through cell regeneration, reuse, and recycling;_x000D_
â€¢	Facilitating rework, reuse, repair, and remanufacture of batteries through modular designs, reversible manufacturing materials and methods; and_x000D_
â€¢	Reducing asset costs per unit amount of energy delivered owing to the retention of the embedded manufacturing value of batteries, their prolonged lifetime, and the extended use of EVs. _x000D_
_x000D_
The overarching goal of the CIRCULAR program is to successfully translate the above definition of a circular economy to the domestic EV battery supply chain by supporting the development of innovative solutions that can overcome both the technological and economic barriers to broad commercial adoption. CIRCULAR acknowledges that simultaneous advancements in multiple technological domains may be required to accomplish this ambitious objective. Therefore, the program is intentionally structured into four technology development categories designed to converge towards the creation of a domestic circular supply chain for EV batteries. _x000D_
_x000D_
The CIRCULAR program recognizes that conventional recycling is not the only, nor primary, pathway to closing the supply chain loop. Therefore, the primary objective of this program is to catalyze the creation of a circular EV battery supply chain in North America. The program will support the development and deployment of foundational technologies capable of maintaining materials and products in circulation at their highest level of performance and safety for as long as possible. Achieving this goal will directly impact ARPA-E mission areas as follows:_x000D_
_x000D_
â€¢	Decrease Energy-Related Imports: The CIRCULAR program aims to reduce the import of critical battery materials, cells, packs, and EVs by establishing new supply chain loops within the U.S. Currently, individual steps in the battery supply chain (mining, material processing, cell component assembly, battery cell manufacturing, and recycling) are concentrated mostly outside of the U.S._x000D_
â€¢	Reduce Emissions: The CIRCULAR program aims to decrease the domestic energy burden and carbon footprint of the EV battery supply chain by extending the service life of battery cells and packs and by maintaining manufacturing value to the greatest extent possible through regeneration, repair, reuse, and remanufacture. The program will also reduce emissions associated with battery recycling by minimizing the amount of waste and by recycling only pack components that have reached their EOL._x000D_
â€¢	Improve Energy Efficiency: The CIRCULAR program aims to minimize energy and material consumption within the battery supply chain and to exploit opportunities to improve energy efficiency through innovative battery design, material regeneration, and/or manufacturing strategies._x000D_
According to the U.S. Environmental Protection Agency (EPA), a circular economy â€œrefers to an economy that uses a systems-focused approach and involves industrial processes and economic activities that are restorative or regenerative by design, enables resources used in such processes and activities to maintain their highest value for as long as possible, and aims for the elimination of waste through the superior design of materials, products, and systems.â€ Further, â€œa circular economy reduces material use, redesigns materials, products, and services to be less resource intensive, and recaptures â€˜wasteâ€™ as a resource to manufacture new materials and products.â€ Successfully achieving a circular economy requires implementing the above principles to the supply chains of numerous products._x000D_
Specifically, creating a circular EV battery supply chain focuses on optimizing the full vehicle life cycle. Thus, the emphasis must shift from production and sales within an ownership model to a model focusing on customersâ€™ mobility needs and access in the form of leasing, as it exists today, vehicle-on-demand (e.g., ZipcarÂ®), and mobility-on-demand (e.g., robotaxis).  These different business models may coexist but will require increasing collaboration and transparency among different actors, while costs and revenues will be distributed across the supply chain._x000D_
A circular supply chain offers new revenue streams and business opportunities22 by providing services to maximize EVsâ€™ lifetime performance through:_x000D_
â€¢	Enhancing regular predictive maintenance;_x000D_
â€¢	Repairing and remanufacturing of battery modules and packs;_x000D_
â€¢	Improving the reuse and recovery of EOL parts and materials; and_x000D_
â€¢	Minimizing carbon footprint and maximizing resource efficiency._x000D_
_x000D_
A circular supply chain also offers opportunities to reduce production and operating costs by:_x000D_
â€¢	Improving the quality and stability of critical mineralsâ€™ supply chains through cell regeneration, reuse, and recycling;_x000D_
â€¢	Facilitating rework, reuse, repair, and remanufacture of batteries through modular designs, reversible manufacturing materials and methods; and_x000D_
â€¢	Reducing asset costs per unit amount of energy delivered owing to the retention of the embedded manufacturing value of batteries, their prolonged lifetime, and the extended use of EVs. _x000D_
_x000D_
To view the FOA in its entirety, please visit https://arpa-e-foa.energy.gov.</t>
  </si>
  <si>
    <t>Continuous Ketone Monitoring for the Safe Use of Sodium-glucose Cotransporter-2 Inhibitors in Type 1 Diabetes (R01 Clinical trial Required)</t>
  </si>
  <si>
    <t>Sodium-glucose co-transporter-2 inhibitors (SGLT2i) that were developed for the treatment of type 2 diabetes (T2D) have significant protective effects for cardiac and renal diseases for people with and without diabetes. However, SGLT2i are not currently approved for individuals with type 1 diabetes (T1D) and there is an increased risk of diabetic ketoacidosis (DKA) for this population. Despite this concern, these drugs are increasingly being prescribed off-label for people with T1D. Continuous ketone monitoring (CKM) is a rapidly evolving technology that could be utilized clinically to prevent DKA by an early warning of elevations in ketone levels.The purpose of this NOFO is to solicit applications for studies that will develop and test risk mitigation strategies that involve the clinical integration of CKM for the safe use of SGLT2i for people living with T1D so that they may benefit from the cardiac and renal protection and glucose-lowering effects of this drug class. The NOFO will support short-term, clinical trials to gain and disseminate knowledge on safety and glucose control with CKM and SGLT2i use.Possible topics include testing optimal insulin delivery in open and closed loop systems or multiple daily injections and developing clinical protocols to control or ameliorate elevated ketone levels in individuals with T1D who are receiving adjunct therapy with SGLT2i.</t>
  </si>
  <si>
    <t>FY2024 - Historic Preservation Fund- Annual State Historic Preservation Office Grants</t>
  </si>
  <si>
    <t xml:space="preserve">State governments In accordance with the National Historic Preservation Act as amended, 54 USC 3001, this funding opportunity is limited to:State governments, as defined in 54 USC 3001 et seq. also known as the National Historic Preservation Act, as amended. Further eligible applicants are defined in 54 USC 302902 - Grants to States; 54 USC 302908 - Grants to the Federated States of Micronesia, the Republic of the Marshall Islands, the Republic of Palau; and specifically in 54 USC 300317   States.  One nonprofit organization, Ohio History Connection, is eligible to apply serving as the Ohio State Historic Preservation Office. </t>
  </si>
  <si>
    <t xml:space="preserve">This funding program supports the operation of State Historic Preservation Offices (SHPOs) in the 50 states, 5 territories, 3 Freely Associated States, and District of Columbia within allowable program areas described in the Historic Preservation Fund Grants Manual. Where relevant, staff and projects must comply with the appropriate Secretary of the Interiorâ€™s Standards.The purposes of this program are to provide matching grants to States for the identification, evaluation, and protection of historic properties by such means as: survey, planning, technical assistance, physical preservation, Federal tax incentives available for historic properties, nominations to the National Register of Historic Places, distribution of funding to Certified Local Governments, and to assist Federal, State, and Local Government agencies, nonprofit organizations and private individuals in carrying out historic preservation activities. Awards under this program must comply with and support 54 U.S.C. 3001 et seq. (commonly known as the National Historic Preservation Act). </t>
  </si>
  <si>
    <t>Mechanistic Studies on Social Behavior in Substance Use Disorder (R01 Basic Experimental Studies with Humans (BESH) Required)</t>
  </si>
  <si>
    <t>The purpose of this notice of funding opportunity (NOFO) is to solicit applications proposing innovative transdisciplinary research that integrates approaches across social/cognitive neuroscience and other social sciences and will lead to a testable conceptual or computational model that provides mechanistic insights into social behavior and its relationships with the onset, trajectory and impact of Substance Use Disorders (SUD) and comorbidities.
This NOFO is specifically soliciting applications proposing BESH research, referred to in NOT-OD-18-212 as prospective basic science studies involving human participants. These studies fall within the NIH definition of a clinical trial and also meet the definition of basic research.</t>
  </si>
  <si>
    <t>Mechanistic Studies on Social Behavior in Substance Use Disorder (R01 Clinical Trials Not Allowed)</t>
  </si>
  <si>
    <t>The purpose of this notice of funding opportunity (NOFO) is to solicit applications proposing mechanistic transdisciplinary research in animal models that integrates approaches across social/cognitive neuroscience with perspectives from fields with complementary approaches to the study of social behavior, with the goal of developing a testable conceptual or computational model that provides mechanistic insights into social behavior and its relationships with the onset, trajectory and impact of Substance Use Disorders (SUD) and comorbidities. 
This NOFO is intended to support basic or translational research in non-human animal models, including secondary analysis of data from research in animal models.  Applications including studies involving human subjects should submit under one of the companion NOFOs.</t>
  </si>
  <si>
    <t>Mechanistic Studies on Social Behavior in Substance Use Disorder (R01 Clinical Trial Optional)</t>
  </si>
  <si>
    <t>Native American tribal governments (Federally recognized)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</si>
  <si>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overarching goal of the supported research projects will be to determine neural and cognitive mechanisms that underlie the relationship between social cognition/behavior and the SUD trajectory.</t>
  </si>
  <si>
    <t>Fiscal Year 2024 Targeted Violence and Terrorism Prevention Grant Program</t>
  </si>
  <si>
    <t>Special district governments Authority and Capacity: Applicants must demonstrate that they have sufficient authority and capacity to implement a project that t aligns with the Innovation Project Track or one or more of the Project Types within the Promising Practices Project Track, as outlined in Appendix B of the NOFO, including the capability to engage the participants they propose to include in their projects.Privacy, Civil Rights, and Civil Liberties: Proposed projects shall uphold individual privacy, civil rights, and civil liberties. Applications shall describe the project s plans for collection of personally identifiable information (PII), its purpose for the collection, its plans for the use and retention of such PII, and any potential impacts to privacy, civil rights, and civil liberties and ways in which applicants will prevent or mitigate those impacts and administer their projects in a nondiscriminatory manner. For example, proposed projects shall not profile or target individuals or groups based on their political affiliation or legally protected characteristics, including but not limited to their race, religion, ethnicity, gender, or sexual orientation, nor in any way infringe on First Amendment or other protected activities. Applications that describe programs, projects, or activities that do not appropriately protect privacy, civil rights, or civil liberties will be deemed ineligible for selection and not reviewed or scored. Completeness: Applications must include all required elements (see Appendix C,  Contents and Format of Application  within the NOFO as well as specific requirements of the projects they are proposing. This includes performance measures for each project type (see Appendix B  Application Tracks  within the NOFO). Failure to provide a complete application or any significant deviation from the requirements may result in an application being deemed ineligible and not reviewed or scored. Research: Projects that solely conduct research without implementation are not eligible under this program. Research is an allowable expense; however, applicants must propose to implement one or more prevention capabilities during the Period of Performance (POP) and must demonstrate how any proposed research will support that implementation. For any research involving Human Subjects, please review NOFO Section F.2(e)  Administrative and National Policy Requirements - Protection of Human Subjects in Research. Number of Allowable Applications per Applicant Organization: As stated  in Section E.1(a)  Application Evaluation Criteria - Programmatic Criteria,  of the NOFO, each applicant organization may only submit one application per funding track. Therefore, the maximum number of applications an applicant can submit is two, one each for the  Promising Practices  and   tracks. If the same organization submits multiple applications within the same application track, DHS will only review one application per track. Please note: Affiliated universities within a university system are considered different organizations for the purposes of this criterion. As such, each university within the university system may submit one application each within the  Promising Practices  and   Tracks. Similarly, affiliated state, tribal, or local government entities within the same state or locality, such as a state Department of Public of Safety and state Department of Health, are considered separate applicant entities for the purposes of this criterion.  For further information on the two application tracks please consult Appendix B  Application Tracks, Project Types, and Minimum Standards  within the NOFO.</t>
  </si>
  <si>
    <t>Acts of targeted violence and terrorism are often preventable occurences. American communities continue to be vulnerable to these threats â€“ forms of violence that impact our collective sense of security and freedom as Americans. CP3 strengthens our countryâ€™s ability to prevent targeted violence and terrorism nationwide, through funding, training, increased public awareness, and partnerships across every level of government, the private sector, and in local communities. Leveraging an approach informed by public health research, CP3 brings together mental health providers, educators, faith leaders, public health and safety officials, social services, nonprofits, and others in communities across the country to help people who are on a pathway to violence before harm occurs. The TVTP Grant Program provides financial assistance, training, and resources to eligible applicants. These grants enable recipients to develop sustainable, multidisciplinary TVTP capabilities in local communities, pilot innovative prevention approaches, and identify prevention best practices that can be replicated in communities across the country.Lone offenders and small cells of individuals motivated by a range of violent extremist ideologies, of both domestic and foreign origin, continue to pose a persistent terrorism-related threat facing the United States. Among domestic violent extremists, racially or ethnically motivated extremists will likely remain a lethal threat. Since 2020, DHS has also seen a significant increase in anti-government and anti-authority threats, which typically target law enforcement, elected officials, and government personnel and facilities. Foreign terrorist organizations continue to motivate supporters, including homegrown violent extremists, to carry out attacks in the United States, both within and from beyond our borders. Al-Qaâ€™ida and ISIS have been diminished by longstanding pressure, but their networks and affiliates have diffused and persisted, often in areas of enduring conflict or lacking governance. Mass targeted violence attacks that lack a distinct ideological focus, such as many of the mass shootings in U.S. schools, also have increased in recent years. Since the renewal of fighting in the Israel-HAMAS conflict, there has been an increase in threats and targeted violence against Jewish, Muslim, and Arab communities, institutions, and public officials in the Homeland, including attacks identified or suspected to be hate crimes. The TVTP Grant program will continue to support projects that aim to prevent all forms of targeted violence and terrorism as well as projects that focus on preventing the most pressing current targeted violence and terrorism threats.Many domestic violence extremists exploit online platforms to spread hate, sow discord and division, and promote narratives to encourage violence. The TVTP Grant program supports online, in-person, and hybrid projects that address the threat of online pathways to violence as well as the threat of violence in physical spaces. Several states have developed state TVTP strategies, and this program supports the development and implementation of state, regional, or community TVTP strategies. Projects supported under this program must adhere to strict privacy, civil rights, and civil liberties standards described in this guidance. Furthermore, projects must be designed and operated in ways that do not infringe on individualsâ€™ free speech or target anyone based on the exercise of their First Amendment rights.Applicants can submit applications for this funding opportunity through FEMA Grants Outcomes (GO). Access the system at https://go.fema.gov/</t>
  </si>
  <si>
    <t>Sustainable Regional Systems Research Networks</t>
  </si>
  <si>
    <t xml:space="preserve">Others (see text field entitled "Additional Information on Eligibility" for clarification) *Who May Submit Proposals: Proposals may only be submitted by the following:
  -For-profit organizations: U.S.-based commercial organizations, including small businesses, with strong capabilities in scientific or engineering research or education and a passion for innovation.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
Additional Requirements:
_x000D_
Proposals must include either/or:
_x000D_
 ul type= _x000D_
 If the team of core organizations include academic organizations, then at least one must be a university or collegethat serves populations ofstudents historically underrepresented in STEM.To qualify as a core partner organization, theremust be financial support for a minimum of three faculty membersparticipating in the SRS RN along with financial support fora minimum of three students. _x000D_
 A core partner, such as a community group, a non-profit,or other group/organization that supports an underrepresented communitywithin the scope of the proposed research project. To qualify as a core partner organization, they must be allocated a minimum of 10% of the total budget request for theentire SRS RN. _x000D_
*Who May Serve as PI:
Individuals from the following types of organizations can participate, including as co-PIs or Senior Personnel(but not the PI), as follows:
_x000D_
 ul type= _x000D_
 Other Federal Agencies: Researchers or participantsfrom other Federal agenciesor Federally Funded Research and Development Centers (FFRDCs) may be supported bysubawards or participate asunfunded collaborators. A letter of collaboration is required for non-NSF sponsored FFRDCs and other Federal agencies. _x000D_
 State and Local Governments:Individuals fromstate educational offices or organizations and local school districts may be supported bysubawards or participate asunfunded collaborators. A letter ofcollaboration from their organization is required. _x000D_
 Scientists, engineers or educators in the U.S. who are U.S. citizens may be supported bysubawards or participate asunfunded collaborators. A letter of collaboration is required. _x000D_
 </t>
  </si>
  <si>
    <t>The United States is made up of regional systems comprising interdependent urban and rural systems and every community category between urban and rural. Urban systems and rural systems are interdependent for the provisioning of food, energy sources, water, other materials and natural resources, markets, manufactured goods, and medical resources. These systems are also connected by ecological processes that both influence and are influenced by human behavior. The vital interconnection of urban-rural systems underscores the critical need for the advancement of sustainable regional systems (SRS). The goal of this solicitation is to fund convergent research and education that will advance sustainable regional systems science, engineering, and education to facilitate the transformation of current regional systems to enhance sustainability. To further the advancement of SRS science, engineering, and education, NSF will support proposals for Sustainable Regional Systems Research Networks (SRS RNs).
_x000D_
Sustainable regional systems are connected urban and rural systems that are transforming their structures and processes collaboratively with the goal of measurably and equitably advancing the well-being of people and the planet. The purpose of the SRS RNs competition is to develop and support interdisciplinary, multi-organizational teams working collaboratively to produce cutting-edge convergent research, education, and outreach that addresses grand challenges in sustainable regional systems. SRS RNs will study multiscale regional systems to further SRS science, engineering, and education. Key elements will include new data, methods, and models to understand interactions between natural, human-built, and social systems; improved understanding of interdependencies, mutual benefits, and trade-offs of different wellbeing outcomes for humans and the environment; new and generalizable theories of change relevant to SRS;theco-production of knowledge; andexploration of conceptsof social equity in sustainable regional systems across spatial and temporal scales. SRS RN outcomes will have the potential to inform societal actions for sustainability across urban systems and the connected rural communities that make up regional systems.
_x000D_
Subject to availability of funds and quality of proposals, this SRS RN solicitation will support:
_x000D_
_x000D_
SRS RN Awards.These awards will supportfundamental convergent research, education, and outreach that addressesengineering, chemistry, biology, geosciences, mathematics, statistics, environmental, data, computational, education, and social, behavioral, and economic sciences ofsustainable regional systems in partnerships thatmay embrace universities, colleges, federal, state, and local governments, tribal communities, non-governmental and international bodies, non-profit organizations, industry, practitioners, and other community groups. The award size is up to $15 million totalwith a duration of 5 years._x000D_
_x000D_
SRS RNs will conduct innovative and pioneering fundamental research and education that is of a scale and complexity that would not be possible within a single organization, center, or through the normal collaborative modes of NSF research support in core programs.</t>
  </si>
  <si>
    <t>Novel Approaches for Radiation Biodosimetry Assays and Devices Development (U01 Clinical Trial Not Allowed)</t>
  </si>
  <si>
    <t>The purpose of this notice of funding opportunity (NOFO) is to support radiation research at all stages of development for the identification of biomarkers of injury and the development of assays or devices for the purpose of triage, including assessing absorbed dose or predicting health outcomes of acute or delayed injuries resulting from radiation exposure during a public health emergency. This NOFO will support the development of these approaches, with the goal of future regulatory approval.</t>
  </si>
  <si>
    <t>FY24 Energy and Emissions Intensive Industries</t>
  </si>
  <si>
    <t>Others (see text field entitled "Additional Information on Eligibility" for clarification) See Section III.A of the Funding Opportunity Announcement, at https://eere-exchange.energy.gov</t>
  </si>
  <si>
    <t>The purpose of this FOA is to accelerate decarbonization across the industrial sector and advance the Biden Administration's goal to "deliver an equitable, clean energy future, and put the United States on a path to achieve net-zero emissions, economy-wide, by no later than 2050".  This FOA focuses on subsector-specific decarbonization approaches for the highest emitting and most challenging to address industrial subsectors. The Energy and Emissions Intensive Industries (EEII) program within IEDO focuses on improving efficiency and decarbonizing industries with the largest energy use and GHG emissions (i.e. chemicals and refining, iron and steel, cement and concrete, forest and paper products, food and beverage, and other industries such as glass and aluminum). _x000D_
_x000D_
Please see https://eere-exchange.energy.gov for full funding announcement.</t>
  </si>
  <si>
    <t>FY2024 ABPP - Battlefield Restoration Grants</t>
  </si>
  <si>
    <t>FY2024 Battlefield Restoration Grants</t>
  </si>
  <si>
    <t>U.S. Embassy Brazzaville PDS Annual Program Statement</t>
  </si>
  <si>
    <t>DOS-COG</t>
  </si>
  <si>
    <t>U.S. Mission to the Republic of the Congo</t>
  </si>
  <si>
    <t>Others (see text field entitled "Additional Information on Eligibility" for clarification)  	Registered not-for-profit organizations, including think tanks and civil society/non-governmental organizations with programming experience_x000D_
 	Individuals _x000D_
 	Non-profit or governmental educational institutions_x000D_
 	Governmental institutions</t>
  </si>
  <si>
    <t>The U.S. Embassy Brazzaville Public Diplomacy Section (PDS)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
Purpose of Small Grants: PDS Brazzaville invites proposals for programs that strengthen cultural ties between the U.S. and the Republic of Congo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t>
  </si>
  <si>
    <t>Public Diplomacy Small Grants Program 2024</t>
  </si>
  <si>
    <t>Others (see text field entitled "Additional Information on Eligibility" for clarification) The Public Affairs Section encourages applications from U.S. and North Macedonia:  Registered not-for-profit organizations, including think tanks and civil society/non-governmental organizations with programming experience;  Individuals;   Non-profit or governmental educational institutions; and  Governmental institutions.</t>
  </si>
  <si>
    <t>A. PROGRAM DESCRIPTION
 The U.S. Embassy Skopje Public Affairs Section (PAS)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
Purpose of Small Grants: PAS Skopje invites proposals for programs that strengthen people-to-people ties between the U.S. and North Macedonia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Examples of PAS Small Grants Program programs include, but are not limited to:
Â· Academic and professional lectures, seminars and speaker programs
Â· Artistic and cultural workshops, joint performances and exhibitions
Â· Cultural heritage conservation and preservation programs
Â· Professional and academic exchanges and programs
Â· Programs focused on entrepreneurship and innovation 
Â· Programs focused on diversity and empowerment of youth and underserved communities 
Â· Programs focused on democratic processes and values
Â· Programs focused on gender issues
Â· Programs focused on human and equal rights
Â· Programs focused on media literacy
Â· Programs focused on strengthening resiliency against disinformation; and malign influence 
Â· Programs focused on environment protection 
Â· Programs that support North Macedoniaâ€™s Euro-Atlantic integration process
Priority Program Areas:
The objectives of the Public Diplomacy Grant Program are to promote positive relations between North Macedonia and the United States; to reinforce shared values; and to connect North Macedoniaâ€™s emerging leaders to the American people. We fund projects that:
â€¢ Help North Macedoniaâ€™s youth build and develop skills to improve their potential through innovative science (especially environmental and health awareness), technology, engineering, arts, and math (STEM) programs, as well as through entrepreneurship programs and vocational training.
â€¢ Focus on educating youth and publics about current environmental issues, including crafting creative solutions to environmental challenges, green energy initiatives and energy conservation, climate change adaptation strategies, as well as action plans to deal with water scarcity exacerbated by climate change and urbanization.
â€¢ Encourage North Macedoniaâ€™s youth to participate in civic life through social entrepreneurship, volunteerism, and community engagement.
â€¢ Strengthen understanding of U.S. values and institutions; highlight US culture, including American Studies, English language teaching/learning, and study in the United States; as well as support diversity through the acceptance of minority groups, including individuals with special needs or handicapping conditions, and other areas of mutual interest.
Participants and Audiences:
US Mission North Macedonia encourages not only diverse applicants to apply to our grants programs but would also like to see diverse target audiences and trainers. Diversity can be defined by different geographic regions, ethnicities, religious orientations, gender, physical disabilities including visual, hearing, speech, and other physically handicapping conditions.
The following types of programs are not eligible for funding: 
 Printing or promotion of books or manuscripts
 Travel to the United States for professional development
 Promotion of local arts scenes
 Projects that are inherently political in nature or that contain the appearance of partisanship/support to individual or single-party electoral campaigns
 Charitable or development activities
 Construction programs
 Programs that support specific religious activities
 Fund-raising campaigns
 Lobbying for specific legislation or programs
 Scientific research
 Commercial or trade activities
 Individual travel to conferences and meetings
 Social welfare projects
 Programs intended primarily for the growth or institutional development of the organization
 Ongoing salary costs and office equipment
 Paying to complete activities that were begun with other funds or
Â· Programs that duplicate existing programs</t>
  </si>
  <si>
    <t>U.S. Embassy to the United Kingdom PAS Annual Program Statement</t>
  </si>
  <si>
    <t>DOS-GBR</t>
  </si>
  <si>
    <t>U.S. Mission to the United Kingdom</t>
  </si>
  <si>
    <t>Others (see text field entitled "Additional Information on Eligibility" for clarification)  Non-governmental/not-for-profit/civil society organizations Think tanks (not-for-profit) Government institutions Academic institutions (not-for-profit)</t>
  </si>
  <si>
    <t xml:space="preserve">The U.S. Embassy to the United Kingdomâ€™s Public Affairs Section (PAS) is pleased to announce the launch of its annual Public Diplomacy grants program. 
PAS manages the U.S. Embassy   Consulates in the United Kingdomâ€™s grants program.
We invite proposals that strengthen bilateral ties between the United States and the United Kingdom: 
All programs must promote at least one U.S. Embassy priority program area (listed below) and include a U.S. element or connection. This should be highlighted in your proposal. 
Programs can include U.S. experts, organizations, or institutions in a specific field that will promote increased understanding of U.S. policies and perspectives. 
Examples of grants program projects include, but are not limited to:
Â· Academic and professional lectures, seminars, and speaker programs.
Â· Artistic and cultural workshops, joint performances, and exhibitions.
Â· Professional and academic exchanges and projects.
Â· Professional development workshops and training.
All proposed programs must include a public-facing element, targeting audiences across England, Northern Ireland, Scotland, and Wales, with special consideration for youth audiences aged 18-35.
Priority Program Areas:
Â· Democracy and Shared Values: 
Â· Global Challenges: 
Â· Climate Change, Science, and Technology: 
Participants and Audience Reach:
All applicants for awards must specify the programâ€™s target audience (noting any emphasis on diverse audiences) and estimate the expected audience reach through direct contact and, if possible, through indirect contact (via social media or traditional media). Proposals must include evaluation measures for analysis of impact. </t>
  </si>
  <si>
    <t>U.S. Embassy Kigali Public Diplomacy Annual Program Statement</t>
  </si>
  <si>
    <t>Others (see text field entitled "Additional Information on Eligibility" for clarification) The PD Section encourages applications from U.S. and other foreign organizations:_x000D_
 _x000D_
Registered not-for-profit organizations, including think tanks and civil society/non-governmental organizations with programming experience._x000D_
 _x000D_
Cultural organizations_x000D_
 _x000D_
Non-profit or governmental educational institutions_x000D_
 _x000D_
Governmental institutions For-profit or commercial entities are not eligible to apply.</t>
  </si>
  <si>
    <t>The U.S. Embassy Kigali Public Diplomacy Section (PD)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below.Purpose of Small Grants: We invite proposals for programs that strengthen cultural ties between the U.S. and Rwanda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perspectives.Examples of PD Small Grants Program programs include, but are not limited to:â€¢ Academic and professional lectures, seminars and speaker programs;â€¢ Artistic and cultural workshops, joint performances and exhibitions;â€¢ Cultural heritage conservation and preservation programs;â€¢ Professional and academic exchanges and programs;</t>
  </si>
  <si>
    <t>Support for Independent Media</t>
  </si>
  <si>
    <t>DOS-MDA</t>
  </si>
  <si>
    <t>U.S. Mission to Moldova</t>
  </si>
  <si>
    <t>Others (see text field entitled "Additional Information on Eligibility" for clarification) Not-for-profit organizations, including think tanks and civil society/non-governmental organizations officially registered in the Republic of Moldova_x000D_
_x000D_
Mass media registered as Limited Liability Companies.</t>
  </si>
  <si>
    <t xml:space="preserve">The U.S. Embassy announces an open competition for assistance awards through this Notice for one or a series of programs to support the Moldovan media sector.
The objective of the project is to strengthen and develop the local production capacity of Moldovan media in the interests of providing a plurality of views, supporting editorial independence, and increasing the quality of domestically produced media in Moldova. It also aims to improve Moldovansâ€™s ability to critically assess mass media and social media, and to support qualified organizations that can increase the level of professionalism of Moldovan journalists and media outlets.
Proposals may cover all types of media tools and channels â€“ social interaction and social media as well as mass media. Proposals are free to target any audience within Moldova, but should not be targeted at the whole of Moldova. Successful proposals will identify and target a specific subset of the population and should clearly explain why targeting that demographic group is important.
The Embassy invites applicants to identify and extend existing good practices and to include in their proposals a discussion of how the proposal does not duplicate existing activities undertaken by other entities. 
The submission of the Statement of Interest (SoI) is the first step in a two-step process. Applicants must first submit a concise statement of interest designed to clearly communicate program idea and objectives using the Microsoft Forms link provided later in this document. This is not a full proposal. The purpose of the SOI process is to allow applicants to submit program ideas for evaluation prior to requiring the development of a full proposal application. Upon a merit review of eligible SOIs, selected applicants will be invited to expand on their program idea(s) by submitting a full proposal application. Full proposals will go through a second merit review before final funding decision are made.
Program Objectives: This proposal plans to fund a diverse range of programs.
Â· independent news and information media outlets (broadcast, online, or print) that are committed to factual, objective and thorough reporting on issues relevant to Moldovaâ€™s economic and political development;
Â· Develop the institutional capacity, competitiveness, and sustainability of independent media outlets;
Â· Support innovative approaches to using technology, including alternative delivery platforms, to more effectively inform Moldovan audiences on issues relevant to Moldovaâ€™s economic and political development;
Â· Upgrade media outletsâ€™ online presences, including improved security and resilience against hacking and other threats;
Â· Develop and strengthen media outlets on the regional and local level in the Republic of Moldova.
 </t>
  </si>
  <si>
    <t>Agricultural Genome to Phenome Initiative</t>
  </si>
  <si>
    <t>Others (see text field entitled "Additional Information on Eligibility" for clarification) Eligibility Requirements_x000D_
Applicants for the AG2PI must meet all the requirements discussed in this RFA. Failure to meet the eligibility criteria by the application deadline may result in exclusion from consideration or, preclude NIFA from making an award. For those new to Federal financial assistance, NIFA s Grants Overview provides highly recommended information about grants and other resources to help understand the Federal awards process._x000D_
_x000D_
In accordance with 7 USC 3157(7), The Secretary may make grants under this subsection to:_x000D_
1.	State agricultural experiment stations;_x000D_
2.	Colleges and universities;_x000D_
3.	University research foundations;_x000D_
4.	Other research institutions and organizations;_x000D_
5.	Federal agencies;_x000D_
6.	National laboratories;_x000D_
7.	Private organizations, foundations, or corporations;_x000D_
8.	Individuals; or_x000D_
9.	Any group consisting of two or more of the entities described in (1) through (8)._x000D_
_x000D_
A consortium of eligible entities is encouraged to apply under this RFA. Applicants for the AG2PI must meet all the requirements discussed in this RFA. Failure to meet the eligibility criteria by the application deadline may result in exclusion from consideration or, preclude NIFA from making an award. For those new to Federal financial assistance, NIFA s Grants Overview provides highly recommended information about grants and other resources to help understand the Federal awards process.</t>
  </si>
  <si>
    <t xml:space="preserve">The National Institute of Food and Agricultureâ€™s Agricultural Genome to Phenome Initiative (AG2PI) focuses onâ€¯collaborative science engagement that intends to develop a community of researchers across both crops and animalsâ€¯that will lay the foundation for expanding knowledge concerning genomes and phenomes of importance to the agriculture sector of the United States. Success of the initiative will inform approaches to understanding how variable weather, environments, and production systems interact with genetic diversity present in crops and animals to impact growth and productivity. This will provide greater accuracy in predicting crop and animal performance under variable conditions and more efficient selection of well-adapted, superior genotypes that farmers and ranchers can produce. </t>
  </si>
  <si>
    <t>Book Translation Program 2024</t>
  </si>
  <si>
    <t>Public and State controlled institutions of higher education The following organizations are eligible to apply: _x000D_
 	Georgian Publishing houses; _x000D_
 	Georgian Public and private educational institutions.</t>
  </si>
  <si>
    <t>A. PROGRAM DESCRIPTION
 The Public Diplomacy Section (PDS) of the U.S. Embassy Tbilisi is pleased to announce the 2024 Book Translation Program. Through funding translation of key works into Georgian PDS aims to increase the accessibility and affordability of the latest research, analysis, and popular contemporary literature by American authors to the Georgian students, researchers and the general public.
B. FEDERAL AWARD INFORMATION
 Length of performance period: Maximum project period is 2 years.
Number of awards anticipated: 15 awards (dependent on amounts requested in approved proposals).
Award amounts: U.S. Embassy Tbilisi grant will cover up to 70% of the total project budged.
Total available funding: $100,000
Funding Request Ceiling: $10,000
Type of Funding: Economic Support Funds under the Foreign Assistance Act.
Funding Instrument Type: Grant, Fixed Amount Award.
ï»¿1. Cost Sharing or Matching
The program requires minimum 30% cost-share. Cost-share might come from the applicant organization or other sources. In case of co-funding from other organization, an approval letter from the relevant organization is required (indicating amount and category of expenses).
Allowable costs:  Allowable costs are those directly related to the project activities: copyright, translation, editing, proofreading, design, printing, and promotional public events. 
2. Other Requirements
Under the project requesting both print and e-books are allowable. In case of print books, minimum print-run required is 1,000 (smaller print-run considered per terms of the individual project, especially for textbooks by education institutions). In case of e-book projects, specific terms needs to be cooperated with the copyright holder party. 
Textbooks and academic literature should be the latest editions. 
The grant recipient is responsible for requesting permission from the copyright holder. Applicant should start negotiation with the copyright holder before submission of proposal and present copy of communication or draft of the contract with other requested documents. After selection as a finalist, the applicant is required to present a copy of the copyright agreement signed by both parties.
Each applicant can submit up to five (5) proposals per call. Organization can submit projects on both deadlines, but same proposals cannot be re-submitted on the second call of the same year. 
Eligible works should be previously unpublished in Georgian.
Publications should be translated from the original language. 
In joint projects letters of support from project partners describing the roles and responsibilities of each partner are required.
Post-publication book promoting activities are highly encouraged, e.g. book launching event and presentation, book readings and discussions, social media campaigns, contests, etc. Cooperating on the activities with American Spaces in regions is highly recommended. 
D. APPLICATION AND SUBMISSION INFORMATION
Please follow all instructions below carefully. Proposals that do not meet the requirements of this announcement or fail to comply with the stated requirements will be ineligible.
Content of Application
Please ensure:
 The proposal clearly addresses the goals and objectives of this funding opportunity
 All documents are in English
 Â· All budgets are in U.S. dollars
 Â· All pages are numbered
 Â· All documents are formatted to 8 Â½ x 11 paper, and
 Â· All Microsoft Word documents are single-spaced, 12 point Times New Roman font, with a minimum of 1-inch margins.
The following documents are required: 
1. Mandatory application forms
Â· (Application for Federal Assistance 
Â· (Budget Information for Non-Construction programs) 
Â· (Assurances for Non-Construction programs)
Â· Completed application form
Â· Unique entity identifier from SAM.gov 
Â· The translatorâ€™s CV/Resume (indicating experience in the translation field, list of translations)
Â· A copy of the communication or contract with the copyright holder.
Â· Co-funding letter (if applicable)
Â· Partnership letter (if applicable)
Instructions (both in English and Georgian) for mandatory forms are available to download from the website with other documents. 
1. Submission Dates and Times
  18:00 and 05/15/2024; 18:00</t>
  </si>
  <si>
    <t>U.S. Embassy Buenos Aires PAS Strategic Programs</t>
  </si>
  <si>
    <t>The U.S. Embassy Argentina Public Affairs Section (PAS) of the U.S. Department of State is pleased to announce its Public Diplomacy Annual Call for Strategic Programs. PAS will evaluate those proposals that focus exclusively on the development of one or more of the following strategic programs: 
A) International Visitor Leadership Program (IVLP) On Demand.
B) Empowering Women Leaders in Congress and Local Legislatures
C) Empowering Women Leaders in Argentine Labor Unions
D) Academy of Women Entrepreneurs (AWE)
E) Alumni Groups Meeting and Networking Event
F) Argentina TESOL Annual Convention
G) Empowering Youth program
H) Promote Democracy Among Youth
I) Study of the United States Program
J) Bilingual Science Camp
K) Advancing respect for human rights and labor rights to bolster democracy
To apply, please read carefully the additional information contained in the documents attached.</t>
  </si>
  <si>
    <t>Creating Hardened and Durable Fusion First Wall Incorporating Centralized Knowledge (CHADWICK)</t>
  </si>
  <si>
    <t>To obtain a copy of the Funding Opportunity Announcement (FOA) please go to the ARPA-E website at https://arpa-e-foa.energy.gov. To apply to this FOA, Applicants must register with and submit application materials through ARPA-E eXCHANGE (https://arpa-e-foa.energy.gov/Registration.aspx). For detailed guidance on using ARPA-E eXCHANGE, please refer to the ARPA-E eXCHANGE User Guide (https://arpa-e-foa.energy.gov/Manuals.aspx). ARPA-E will not review or consider concept papers submitted through other means. For problems with ARPA-E eXCHANGE, email ExchangeHelp@hq.doe.gov (with FOA name and number in the subject line).Questions about this FOA? Check the Frequently Asked Questions available at http://arpa-e.energy.gov/faq. For questions that have not already been answered, email ARPA-E-CO@hq.doe.gov. Agency Overview: The Advanced Research Projects Agency â€“ Energy (ARPA-E), an organization within the Department of Energy (DOE), is chartered by Congress in the America COMPETES Act of 2007 (P.L. 110-69), as amended by the America COMPETES Reauthorization Act of 2010 (P.L. 111-358), as further amended by the Energy Act of 2020 (P.L. 116-260) to:â€œ(A) to enhance the economic and energy security of the United States through the development of energy technologies thatâ€”(i) reduce imports of energy from foreign sources;(ii) reduce energy-related emissions, including greenhouse gases; (iii) improve the energy efficiency of all economic sectors; (iv) provide transformative solutions to improve the management, clean-up, and disposal of radioactive waste and spent nuclear fuel; and(v) improve the resilience, reliability, and security of infrastructure to produce, deliver, and store energy; and(B) to ensure that the United States maintains a technological lead in developing and deploying advanced energy technologies.â€ARPA-E issues this Funding Opportunity Announcement (FOA) under its authorizing statute codified at 42 U.S.C. Â§ 16538. The FOA and any awards made under this FOA are subject to 2 C.F.R. Part 200 as supplemented by 2 C.F.R. Part 910.	ARPA-E funds research on and the development of transformative science and technology solutions to address the energy and environmental missions of the Department. The agency focuses on technologies that can be meaningfully advanced with a modest investment over a defined period of time in order to catalyze the translation from scientific discovery to early-stage technology. For the latest news and information about ARPA-E, its programs and the research projects currently supported, see: http://arpa-e.energy.gov/.ARPA-E funds transformational research. Existing energy technologies generally progress on established â€œlearning curvesâ€ where refinements to a technology and the economies of scale that accrue as manufacturing and distribution develop drive down the cost/performance metric in a gradual fashion. This continual improvement of a technology is important to its increased commercial deployment and is appropriately the focus of the private sector or the applied technology offices within DOE. By contrast, ARPA-E supports transformative research that has the potential to create fundamentally new learning curves. ARPA-E technology projects typically start with cost/performance estimates well above the level of an incumbent technology. Given the high risk inherent in these projects, many will fail to progress, but some may succeed in generating a new learning curve with a projected cost/performance metric that is significantly lower than that of the incumbent technology.ARPA-E funds technology with the potential to be disruptive in the marketplace. The mere creation of a new learning curve does not ensure market penetration. Rather, the ultimate value of a technology is determined by the marketplace, and impactful technologies ultimately become disruptive â€“ that is, they are widely adopted and displace existing technologies from the marketplace or create entirely new markets. ARPA-E understands that definitive proof of market disruption takes time, particularly for energy technologies. Therefore, ARPA-E funds the development of technologies that, if technically successful, have clear disruptive potential, e.g., by demonstrating capability for manufacturing at competitive cost and deployment at scale.ARPA-E funds applied research and development. The Office of Management and Budget defines â€œapplied researchâ€ as an â€œoriginal investigation undertaken in order to acquire new knowledgeâ€¦directed primarily towards a specific practical aim or objectiveâ€ and defines â€œexperimental developmentâ€ as â€œcreative and systematic work, drawing on knowledge gained from research and practical experience, which is directed at producing new products or processes or improving existing products or processes.â€ (http://science.energy.gov/). Office of Science national scientific user facilities (http://science.energy.gov/user-facilities/) are open to all researchers, including ARPA-E Applicants and awardees. These facilities provide advanced tools of modern science including accelerators, colliders, supercomputers, light sources and neutron sources, as well as facilities for studying the nanoworld, the environment, and the atmosphere. Projects focused on early-stage R D for the improvement of technology along defined roadmaps may be more appropriate for support through the DOE applied energy offices including: the Office of Energy Efficiency and Renewable Energy (http://www.eere.energy.gov/), the Office of Fossil Energy (http://fossil.energy.gov/), the Office of Nuclear Energy (http://www.energy.gov/ne/office-nuclear-energy), and the Office of Electricity Delivery and Energy Reliability (http://energy.gov/oe/office-electricity-delivery-and-energy-reliability). Applicants interested in receiving financial assistance for basic research (defined by the Office of Management and Budget as â€œexperimental or theoretical work undertaken primarily to acquire new knowledge of the underlying foundations of phenomena and observable factsâ€) should contact the DOEâ€™s Office of Science (http://science.energy.gov/). Office of Science national scientific user facilities (http://science.energy.gov/user-facilities/) are open to all researchers, including ARPA-E Applicants and awardees. These facilities provide advanced tools of modern science including accelerators, colliders, supercomputers, light sources and neutron sources, as well as facilities for studying the nanoworld, the environment, and the atmosphere. Projects focused on early-stage R D for the improvement of technology along defined roadmaps may be more appropriate for support through the DOE applied energy offices including: the Office of Energy Efficiency and Renewable Energy (http://www.eere.energy.gov/), the Office of Fossil Energy (http://fossil.energy.gov/), the Office of Nuclear Energy (http://www.energy.gov/ne/office-nuclear-energy), and the Office of Electricity Delivery and Energy Reliability (http://energy.gov/oe/office-electricity-delivery-and-energy-reliability). Program Overview: The Creating Hardened And Durable fusion first Wall Incorporating Centralized Knowledge (CHADWICK) program will pursue discovery and testing of novel, first-wall materials that will maintain design performance over the target 40-year design lifetime of a fusion power plant. In most fusion power systems, the fusion reactions are physically contained by the first wall. The first wall bears the mechanical load and protects the components from the extreme heat and highly energetic charged and neutral particles. The safety and structural performance of the first wall are compromised over time by significant exposure to high-energy ( 1 million electron volts (MeV)) neutrons and heat flux as much as 10 megawatts per square meter (MW/m2)). As fusion energy advances towards commercial deployment, the lifetime and maintainability of first-wall materials will become a major challenge for the commercial viability of fusion power plants with high neutron flux. Thermal effects on materials are relatively well understood. However, the combination of heat plus an intense neutron environment can generate many nonlinear effects that are difficult to predict. Radiation most commonly damages a material by driving atomic displacements and the transmuting of isotopes within the material structure. Some transmutation events encourage the development of activation product gasses, such as hydrogen and helium, which encourage wall swelling. The combination of stresses caused by atomic dislocations, swelling, and thermal contraction and expansion drive material hardening and embrittlement, ultimately promoting premature cracking and failure. The most common descriptor for radiation damage is displacements per atom (dpa). These displacements can cause irradiation embrittlement leading to the loss of ductility in a material after exposure to radiation. Fusion power plant first-wall materials are anticipated to experience  50 dpa over the desired 40-year operational period. Radiation damage has been observed to harden and embrittle first-wall materials at levels as low as 5 dpa.The goal of the CHADWICK program is the discovery, development, and production of new materials that can maintain the following metrics in a fusion first-wall environment:â€¢ Room temperature ductility after 50 dpa of irradiation damage and helium generation;â€¢ Sufficiently high thermal conductivity to remove up to 10 MW/m2 of heat;â€¢ Activation below 10,000 Sieverts per hour (Sv/hr) to enable remote handling;â€¢ Swelling below 1% to maintain dimensional stability; andâ€¢ Tritium retention and plasma erosion lower than current state-of-the-art (SoA) materials.SoA materials under consideration for fusion first-wall applications are currently limited to reduced activation ferritic martensitic (RAFM) steels and tungsten.7 Both materials suffer from irradiation and helium embrittlement issues that make fusion power plants prohibitively expensive to qualify and operate. New materials that are highly resistant or functionally immune to irradiation embrittlement up to 50 dpa can increase the lifetime of the first wall by a factor of 10. These materials are envisioned to be essential to the deployment of sustained and economical fusion energy.To view the FOA in its entirety, please visit https://arpa-e-foa.energy.gov.</t>
  </si>
  <si>
    <t>Research on the Impact of and Methods for Implementing Regional Genomic Medicine eConsult Services (U01 Clinical Trials Optional)</t>
  </si>
  <si>
    <t>Nonprofits that do not have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not allowed.</t>
  </si>
  <si>
    <t>This Notice of Funding Opportunity (NOFO) invites applications for sites to participate in the Genomic Medicine eConsult Research Network, hereafter referred to as the eConsult Network. The eConsult Network will consist of 2-3 sites working with NHGRI to conduct research on the impact of and methods for implementing regional clinician-to-clinician genomic medicine eConsult services. Specifically, sites will be funded to research how to best design, develop, and implement regional genomic medicine eConsult services; provide outreach to potential users, including those at underserved settings; and assess the impact on key stakeholders while developing successful implementation strategies and resources that can be broadly shared and adopted.</t>
  </si>
  <si>
    <t>U.S. Embassy Windhoek PDS Annual Program Statement</t>
  </si>
  <si>
    <t>DOS-NAM</t>
  </si>
  <si>
    <t>U.S. Mission to Namibia</t>
  </si>
  <si>
    <t>Others (see text field entitled "Additional Information on Eligibility" for clarification)  Registered not-for-profit organizations, including think tanks and civil society/non-governmental organizations with programming experience_x000D_
  Individuals_x000D_
  Non-profit or governmental educational institutions_x000D_
  Governmental institutions_x000D_
  American entities applying should demonstrate expertise in the Namibian context</t>
  </si>
  <si>
    <t>Public Diplomacy Section in Windhoek invites proposals for programs that strengthen cultural ties between the United States and Namibia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perspectives.â€¢Directly support U.S. treaty or bilateral agreement obligations.â€¢Directly support U.S. policies, strategies, and objectives in a country as stated in the Integrated Country Strategy (ICS) (ICS is the four-year strategy that articulates the U.S. priorities in a given country and is led by the Chief of Mission.) These priorities are Empowering an Inclusive, Rules-Based Democracy, Catalyzing a Resilient, Sustainable Economy and Cultivating Equitable Access to Service to help Unleash Namibiaâ€™s Human Resources.â€¢Support disaster risk reduction for cultural heritage in disaster-prone areas, or post-disaster cultural heritage recovery.â€¢Complement the Cultural Heritage Center in the Bureau of Educational and Cultural Affairs (ECA) or Public Diplomacy programs.</t>
  </si>
  <si>
    <t>U.S. Embassy Brussels PAS Annual Program Statement (APS</t>
  </si>
  <si>
    <t>DOS-BEL</t>
  </si>
  <si>
    <t>U.S. Mission to Belgium</t>
  </si>
  <si>
    <t>Others (see text field entitled "Additional Information on Eligibility" for clarification) * Registered not-for-profit organizations, including think tanks and civil society/non-governmental organizations with programming experience; _x000D_
* Non-profit or governmental educational institutions.</t>
  </si>
  <si>
    <t>PROGRAM DESCRIPTION
 The U.S. Embassy Brussels Public Affairs Section (PAS) of the U.S. Department of State is pleased to announce that funding is available through its Public Diplomacy Grants Program. This Annual Program Statement outlines our funding priorities, strategic themes, and the procedures for submitting requests for funding. Applications for programs are accepted on a rolling basis until the deadline of July 31, 2024. Each quarter, a grant review committee reviews the outstanding applications. The deadline is necessary to provide sufficient time to process and award programs in advance of the end of our fiscal year on September 30, 2024. Please carefully follow all instructions below. 
Purpose of Grants: 
PDS Brussels invites proposals for projects that strengthen ties between the United States and Belgium by highlighting shared values and promoting bilateral cooperation. Grant proposals must convey an American cultural element, support a priority program area (see below), or include a connection with American expert(s), organization(s), or institution(s) in a specific field that will promote increased understanding of U.S. policy and perspectives.
 Examples of projects include, but are not limited to:
Â·Academic and professional lectures, seminars, and speaker programs;
Â·Artistic and cultural workshops, joint performances, and exhibitions;
Â·Youth leadership programs;
Â·Professional and academic exchanges and projects;
Â·Entrepreneurship and innovation in technological or other fields; and
Â·Sports-related programming.
Priority Program Areas:
Â·Programs that promote active partnership between the United States and Belgium to address new and evolving security challenges, including disinformation;
Â·Programs that counter the influences of radicalization and violent extremism, including political extremism;
Â·Programs that offer youth leaders the opportunity to strengthen their leadership skills;
Â·Programs that build capacity in organizations seeking to strengthen social cohesion through promotion of diversity principles; and/or
Â·Programs that enable engagement with youth audiences on the enduring relevance of U.S.-Belgium historical bonds.
Priority Participants and Audiences:
Â·Youth, particularly those from underserved communities;
Â·Women, particularly entrepreneurs and/or those from underserved communities;
Â·Underserved/Minority/Refugee communities; and
Â·Civil society organizations and academic institutions.
The following types of projects are not eligible for funding:
Â·Projects relating to partisan political activity;
Â·Charitable or development activities;
Â·Construction projects;
Â·Projects that support specific religious activities;
Â·Fundraising campaigns;
Â·Lobbying for specific legislation or projects; 
Â·Scientific research; or
Â·Projects that duplicate existing projects.</t>
  </si>
  <si>
    <t>ECosystem for Leading Innovation in Plasma Science and Engineering</t>
  </si>
  <si>
    <t>Plasma science is a transdisciplinary field of research where fundamental studies in many disciplines, including plasma physics, plasma chemistry, materials science, and space science, come together to advance knowledge for discovery and technological innovation. The primary goal of the ECosystem forLeadingInnovation inPlasmaScience andEngineering (ECLIPSE) program is to identify and capitalize on opportunities for bringing fundamental plasma science investigations to bear on problems of societal and technological need within the scope of science and engineering supported by the participating NSF programs.
_x000D_
The ECLIPSE meta-program has been created to foster an inclusive community of scientists and engineers, an ecosystem spanning multiple NSF Directorates, in the pursuit of translational research at the interface of fundamental plasma science and technological innovation. The ECLIPSE program builds on the long history of NSF leadership in supporting multi-disciplinary research in plasma science and engineering, and is intended to enhance organizational unity within NSF, and potentially with other funding agencies, in considering proposals and supporting projects that may otherwise struggle to find a natural home within the existing hierarchy of Directorates, Divisions, and programs within the Foundation.
_x000D_
Examples of topical areas within the scope of the ECLIPSE program include but are not limited to:
_x000D_
_x000D_
Plasma surface interactions, with applications to, e.g., advanced manufacturing, materials processing, and catalysis._x000D_
Atmospheric pressure plasmas and microplasmas with applications to, e.g., microelectronics, plasma agriculture, environmental remediation, and other clean and decarbonized energy goals enabled by electrification of the chemical industry._x000D_
Dusty plasmas with applications to, e.g., development of nanomaterials, aerosols, and functionalized surface coatings._x000D_
Novel sensor development for highly non-equilibrium plasmas with applications to, e.g., cubesat-based geospace measurements and industrial plasma diagnostics._x000D_
Novel computational modeling for multi-component and/or multi-phase plasma systems with applications to, e.g., space weather prediction and plasma reactor design._x000D_
Novel studies of plasmons in nano-photonics and nano-optics with applications to, e.g., sub-THz wireless communication and photocatalytic chemical processes._x000D_
New chemical measurement science for characterizing processes occurring in plasmas and using plasmas as part of measurement systems with applications to, e.g., analysis of environmental contaminants or identification of forensic evidence._x000D_
Study of fundamental chemical reactions and mechanisms in plasmas with applications to, e.g., novel chemical synthesis._x000D_
_x000D_
Proposals submitted for consideration by this program should address societal or technological needs within the scope of science and engineering supported by the National Science Foundation. Proposals addressing technology development primarily supported by other US government funding agencies are not eligible for consideration and may be returned without review. Proposers are strongly encouraged to contact the cognizant Program Officers if they are unsure of the suitability of a project to this program.
_x000D_
Proposals submitted for consideration by the ECLIPSE program should satisfy the following criteria:
_x000D_
(1) clearly articulate the fundamental scientific and/or engineering challenge in plasma science and engineering that may be relevant to more than one NSF program; and
_x000D_
(2) provide a substantive discussion of how a resolution of the stated scientific and/or engineering challenge will address specific societal and/or technological needs identified as priorities by the research communities, policymakers and/or other stakeholders. Depending on the nature of the proposal, the latter may be described as the Intellectual Merit or the Broader Impact of the proposed activity.
_x000D_
The program encourages inclusion of specific efforts to increase the diversity of the ECLIPSE community and to broaden participation of under-represented groups in Science, Technology, Engineering, and Mathematics (STEM) as Broader Impacts of proposed work. The program welcomes proposals from Historically Black Colleges and Universities (HBCUs), other Minority Serving Institutions (MSIs), and institutions in EPSCoR-eligible jurisdictions, along with collaborations between these institutions. Proposers are also encouraged to address how the proposed efforts may enhance workforce development towards STEM careers associated with the field of plasma science and engineering.
_x000D_
The ECLIPSE program is not intended to replace existing programs. A proposal that is requesting consideration within the context of ECLIPSE should begin the title with the identifying acronym "ECLIPSE:" and should be submitted to one of the "Related Programs" listed below. In choosing the most relevant program, proposers are advised to read program descriptions and solicitations carefully and to consult with cognizant Program Officers in advance of proposal preparation. Proposal submissions outside of the scientific scope of the receiving program may be transferred to a different program or may be returned without review. Proposers should ask for consideration and review as an ECLIPSE proposal only if the proposal addresses both of the criteria listed above. Proposals marked for consideration by the ECLIPSE program that do not address both of these criteria may be returned without review or reviewed within the context of an individual program. Supplement requests to existing awards within a program that address both of the above criteria may also be considered.
_x000D_
Information Sharing with other Funding Agencies
_x000D_
When permitted under an MOU between NSF and another funding agency, NSF may share information from proposals for consideration of joint funding and may invite employees of such organizations to attend merit review panels as observers.</t>
  </si>
  <si>
    <t>U.S. Embassy Lome Public Diplomacy Annual Program Statement</t>
  </si>
  <si>
    <t>DOS-TGO</t>
  </si>
  <si>
    <t>U.S. Mission to Togo</t>
  </si>
  <si>
    <t>Nonprofits having a 501(c)(3) status with the IRS, other than institutions of higher education Others: Governmental Institutions</t>
  </si>
  <si>
    <t xml:space="preserve">The U.S. Embassy in Lome, Togo, through this Notice of Funding Opportunity is pleased to announce that funding is available through its Public Diplomacy (PD) Small Grants Program. This is an Annual Program Statement, outlining our funding priorities, the strategic themes we focus on, and the procedures for submitting requests for funding. Please carefully follow all instructions below.
Purpose of Small Grants: PD Lome invites proposals for programs that strengthen cultural ties between the U.S. and Togo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Examples of PD Small Grants Program programs include, but are not limited to:
Academic and professional lectures, seminars and speaker programs;
Artistic and cultural workshops, joint performances and exhibitions;
Professional and academic exchanges and programs;
Priority Program Areas:
1. Peace   Security
-Promote peace and tolerance and social cohesion
-Counter violent extremism
2. Democratic Institutions
-Encourage civic engagement
and democratic participation of youth and women
3. Economic Growth
-Promote entrepreneurship and social enterprises
-Strengthen public-private partnerships
4. Opportunities for Development
-Support education initiatives
-Empower women, minorities, and persons with disabilities </t>
  </si>
  <si>
    <t>Fellowships Open Book Program</t>
  </si>
  <si>
    <t>Nonprofits having a 501(c)(3) status with the IRS, other than institutions of higher education Eligibility is limited to publishers who have published during or after calendar year 2017 a book whose research was supported by one of the NEH programs listed under Allowable Books. Publishers must be U.S. nonprofit organizations with 501(c)(3) tax-exempt status or accredited public or 501(c)(3) institutions of higher education.</t>
  </si>
  <si>
    <t>The National Endowment for the Humanities (NEH) Office of Digital Humanities, in partnership with the NEH Division of Research Programs and Division of Education Programs, is accepting applications for the Fellowships Open Book Program. This limited competition awards publishers a $6,600 grant to release open access digital editions of books whose underlying research was funded by an eligible NEH fellowship or grant. (See NOFO section A. Program Description for a complete list of eligible programs.) Publishers must release e-books under a Creative Commons license, making those books free for anyone to download. The book could be a forthcoming title (to be open access upon first release) or it could be a book that was published, reissued, or printed in a new edition during or after calendar year 2017.</t>
  </si>
  <si>
    <t>U.S. Embassy Niamey PDS Annual Program Statement</t>
  </si>
  <si>
    <t>Others (see text field entitled "Additional Information on Eligibility" for clarification) Eligible applicants include:_x000D_
 _x000D_
Registered not-for-profit organizations, including think tanks and civil society/non-governmental organizations with programming experience._x000D_
  Individuals_x000D_
  Non-profit or governmental educational institutions_x000D_
  Governmental institutions Reminder: All programs must include an American cultural element, or connection with American expert(s), organization(s), or institution(s) in a specific field that will promote increased understanding of U.S. policy and perspectives. For-profit or commercial entities are not eligible to apply. Cost Sharing or Matching_x000D_
  Cost sharing is not required. Other Eligibility Requirements Applicants are only allowed to submit one proposal per organization or per person. If more than one proposal is submitted from an organization, all proposals from that institution will be considered ineligible for funding. In order to be eligible to receive an award, all organizations must have a Unique Entity Identifier (UEI) and a valid registration on www.SAM.gov. Public Diplomacy Section Niamey recommends registering for a UEI and SAM.gov account before submitting your application. Registering does not guarantee you will receive funding. Registering early will help your organization receive funding faster, if your proposal is selected.</t>
  </si>
  <si>
    <t>Proposal Summary: Short narrative that outlines the proposed program, including program objectives and anticipated impact.SENSITIVE BUT UNCLASSIFIEDii. Introduction to the Organization or Individual applying: A brief description of the organization and present operations, showing ability to carry out the program, including information on all previous grants from the U.S. Embassy and/or U.S. government agencies.iii. Problem Statement: Clear, concise, and well-supported statement of the problem to be addressed and why the proposed program is needed.iv. Program Goals and Objectives: The â€œgoalsâ€ describe what the program is intended to achieve. What aspect of the relationship between the U.S. and XXX will be improved? The â€œobjectivesâ€ refer to the intermediate accomplishments on the way to the goals. These should be achievable and measurable.v. Program Activities: Describe the program activities and how they will help achieve the objectives.vi. Program Methods and Design: A description of how the program is expected to work to solve the stated problem and achieve the goal.vii. Proposed Program Schedule: The proposed timeline for the program activities. Include the dates, times, and locations of planned activities and events.viii. Key Personnel: Names, titles, roles and experience/qualifications of key personnel involved in the program. What proportion of their time will be used in support of this program?ix. Program Partners: List the names and type of involvement of key partner organizations and sub-awardees.x. Program Monitoring and Evaluation Plan: This is an important part of successful grants. Throughout the timeframe of the grant, how will the activities be monitored to ensure they are happening in a timely manner, and how will the program be evaluated to make sure it is meeting the goals of the grant?xi. Future Funding or Sustainability Applicantâ€™s plan for continuing the program beyond the grant period, or the availability of other resources, if applicable.o Budget Justification Narrative: After filling out the SF-424A Budget (above), use a separate sheet of paper to describe each of the budget expenses in detail. See section H. Other Information: Guidelines for Budget Submissions below for further information.</t>
  </si>
  <si>
    <t>National Project to Support and Promote Consistent Implementation of the Regulatory Standards for the Growing, Harvesting, Packing and Holding of Produce for Human Consumption and Produce Regulatory Standards (PRPS) (U2F) -Cooperative Agreements</t>
  </si>
  <si>
    <t>Others (see text field entitled "Additional Information on Eligibility" for clarification) Only the following organization is eligible to apply:Eligible OrganizationsThe entities eligible to apply for funding under this funding opportunity announcement must represent State departments of agriculture and/or State departments of health as a primary purpose. The competition is limited because these entities have a unique role in working with States and fostering federal-State collaboration in the areas covered by this Cooperative Agreement.Section 1009 of the Federal Food, Drug and Cosmetic Act, 21 USC   399, legibility to State, local, territorial, and tribal agencies and non-profit training entities that collaborate with 1 or more institutions of higher education. This limited competition award is only available to nonprofit national food safety training associations/organizations that collaborate with 1 or more institutions of higher education.Applicant associations must hold an information sharing agreement with FDA under 21 CFR 20.88(e) or be able to obtain an agreement prior to the start date of the award. Information sharing is limited to pre-decisional information and only for the purpose outlined in this award.Foreign OrganizationsNon-domestic (non-U.S.) Entities (Foreign Organizations) are not eligible to apply.Non-domestic (non-U.S.) components of U.S. Organizations are not eligible to apply.Foreign components, as defined in the HHS Grants Policy Statement, are not allowed.</t>
  </si>
  <si>
    <t>This Notice of Funding Opportunity is issued to announce the availability of a Cooperative Agreement designed to assist the FDA in developing, implementing, and improving a nationally consistent system of support which facilitates the implementation of state and territorial produce safety regulatory programs that are modernized and aligned with the standards set forth in the FDAâ€™s Regulation: â€œStandards for the Growing, Harvesting, Packing, and Holding of Produce for Human Consumptionâ€ (commonly referred to as the Produce Safety Rule).This goal shall be accomplished in partnership with the FDA by identifying, generating, sharing, and leveraging resources andinformation which aids in the development and implementation of national, state, and territorial produce safety regulatoryprograms that are nationally uniform and consistent with the Produce Safety Rule, and which improve their effectiveness andenhance their capabilities.</t>
  </si>
  <si>
    <t>Research Initiative for Vaccine and Antibiotic Allergy (UG3/UH3 Clinical Trial Not Allowed)</t>
  </si>
  <si>
    <t>The purpose of this notice of funding opportunity (NOFO) is to support research that enhances understanding of the mechanisms and management of vaccine and antibiotic drug allergy.</t>
  </si>
  <si>
    <t>Chemical Probes and Drugs for Modulating HIV Transcription in the Context of Substance Use Disorders (R01 Clinical Trial Not Allowed)</t>
  </si>
  <si>
    <t>HIV infection and substance use are comorbid conditions that bidirectionally and synergistically influence the deleterious outcomes in people who suffer from substance use disorders (SUD).  The persistence and transcriptional reactivation of HIV lead to the development of neuropathological complications. Strategies to address viral latency include silencing of HIV transcription and reactivation and clearance. The goal of this initiative is to support research aimed at (1) identification of targets and pathways by which transcriptional activity of HIV can be suppressed in HIV reservoirs including the CNS in people with SUD, and (2) application of emerging small molecule drug discovery approaches to identify novel compounds that can be utilized as pharmacological probes and as drugs to suppress HIV transcription in people with HIV-SUD comorbidity.</t>
  </si>
  <si>
    <t>Chemical Probes and Drugs for Modulating HIV Transcription in the Context of Substance Use Disorders (R21 Clinical Trial Not Allowed)</t>
  </si>
  <si>
    <t>Civil Society and Media Activity</t>
  </si>
  <si>
    <t>USAID-UZB</t>
  </si>
  <si>
    <t>Uzbekistan USAID-Tashkent</t>
  </si>
  <si>
    <t>Others (see text field entitled "Additional Information on Eligibility" for clarification) All qualified U.S. and non-U.S. organizations</t>
  </si>
  <si>
    <t>The United States Agency for International Development (USAID) is seeking applications for a cooperativeagreement from qualified entities to implement the Civil Society and Media Activity in Uzbekistan.USAID intends to make an award to the applicant(s) who best meets the objectives of this fundingopportunity based on the merit review criteria described in this NOFO subject to a risk assessment. Eligibleparties interested in submitting an application are encouraged to read this NOFO thoroughly to understandthe type of program sought, application submission requirements and selection process.The Civil Society and Media Activity (CSMA) is a five-year bilateral activity that aims to strengthencivil society and media sectors in Uzbekistan for the purposes of increasing citizen engagement indecision making processes.For more details please see attached files.</t>
  </si>
  <si>
    <t>Fiscal Year 2024 Safeguarding Tomorrow through Ongoing Risk Mitigation Revolving Loan Fund Program</t>
  </si>
  <si>
    <t>Native American tribal governments (Federally recognized) Territories</t>
  </si>
  <si>
    <t>Pursuant to 42 U.S.C. Section 5135, FEMA will provide grants to capitalize revolving loan funds which may be used to provide loans to finance various types of hazard mitigation projects to reduce risks from natural hazards and disasters. Through the Safeguarding Tomorrow through Ongoing Risk Mitigation Revolving Loan Fund (Safeguarding Tomorrow RLF)program, eligible entities (refer to Section C.1) will use these capitalization grants to establish a revolving loan fund (referred to herein as an entity loan fund) from which they will provide direct loans to local governments for projects and activities that mitigate the impacts of drought, intense heat, severe storms (including hurricanes, tornadoes, windstorms, cyclones, and severe winter storms), wildfires, floods, earthquakes, and other natural hazards. Eligible activities may include the construction or modification of natural or built infrastructure to increase resilience and reduce risk of harm. Entity loan funds will be programmatically and financially administered by the respective entity. FEMA will monitor the administration of the entity loan funds during the period of performance per the reporting requirements, and will continue to monitor administration of the entity loan funds after the capitalization grant closeout via biennial audits and post-closeout reporting. Under 42 U.S.C. ? 5135(h)(3)(C), FEMA may make recommendations for or require specific changes as needed to improve the effectiveness of the funds. Funding for the Safeguarding Tomorrow RLF program is limited. Pursuant to the Infrastructure Investment and Jobs Act, also more commonly known as the Bipartisan Infrastructure Law (BIL), FEMA must award funding through multiple Notices of Funding Opportunity over a 5-year period. The Safeguarding Tomorrow RLF program aligns with the goal of promoting resilience and adaptation in light of current risks, including those posed by climate change, and the 2020-2024 DHS Strategic Plan (https://www.dhs.gov/publication/department-homeland-securitys-strategic-plan-fiscal-years-2020-2024) through Goal 5: Strengthen Preparedness and Resilience. Specifically, Objective 5.1: Build a National Culture of Preparedness has several sub-objectives that the Safeguarding Tomorrow RLF program supports. The Safeguarding Tomorrow RLF program serves primarily to bolster Sub-Objective 5.1.1: Incentivize investments that reduce risk and increase pre-disaster mitigation, including expanding the use of insurance to manage risk through funding hazard mitigation projects, particularly ones that reduce risk to infrastructure. By focusing on increasing resilience and reducing harm to built infrastructure, this program will help members of underserved communities,1 who might be at heightened risk as a result of current hazards, including those associated with climate change. The Safeguarding Tomorrow RLF program complements and supplements FEMA's Hazard Mitigation Assistance (HMA) grant portfolio to support mitigation projects at the local government level and increase the Nation's resilience to natural hazards and climate change. Entity loan funds can be leveraged differently than other funding opportunities to meet unique funding needs. This program will support entity-led hazard mitigation priorities and allow participating entities to meet their funding needs as described in the entity's Intended Use Plan (see Section D.10.b). Such needs may include but are not limited to: meeting non-Federal cost-share requirements for other grants, upfront project design costs, smaller projects that may not qualify for other HMA grant programs, or projects that do not meet the cost-effectiveness requirements applicable for other programs.</t>
  </si>
  <si>
    <t>Development of Clinical Outcome Assessments as New FDA-Qualified Drug Development Tools to Accelerate Therapeutics Development for Opioid and Stimulant Use Disorders (UG3/UH3 Clinical Trial Optional)</t>
  </si>
  <si>
    <t>The purpose of this funding opportunity is to support the development of Clinical Outcome Assessments (COA) for Substance Use Disorders (SUD). The COA development plan is expected to progress into the FDA drug development tool qualification program.
This notice of funding opportunity (NOFO) utilizes the UG3/UH3Phased Innovation Awards Cooperative Agreement grant mechanism that includes two phases. The applications responding to this NOFO should contain a COA development plan that will cover both UG3 and UH3 phases. In the first 2-year UG3 phasethe project must have a set of operational milestones to be completed by the end of this period. Once NIDA program has evaluated the progress of the UG3 phase and determined that the UG3 phase has been successfully completed, it transitions to the UH3 phase to be funded for three additional years.The goal of this NOFO is to expand the armamentarium of COA that are FDA qualified as drug development tool (DDT) in the context of use (COI) of a SUD. Achieving this goal will greatly facilitate the development of treatments for SUDs. 
This NOFO requires a Plan for Enhancing Diverse Perspectives (PEDP), which will be assessed as part of the scientific and technical peer review evaluation. Applications that fail to include a PEDP will be considered incomplete and will be withdrawn. Applicants are strongly encouraged to read the NOFO instructions carefully and view the available PEDP guidance material.</t>
  </si>
  <si>
    <t>Rural Economic Development Loan and Grant</t>
  </si>
  <si>
    <t>Others (see text field entitled "Additional Information on Eligibility" for clarification) To receive funding (which will be forwarded to selected eligible projects), an entity must be: A former Rural Utilities Service borrower who borrowed, repaid or pre-paid an insured, direct or guaranteed loan. Nonprofit utilities that are eligible to receive assistance from the Rural Development Electric or Telecommunication Programs.Current Rural Development Electric or Telecommunication Programs borrowers.</t>
  </si>
  <si>
    <t>The Rural Economic Development Loan and Grant program provides funding for rural projects through local utility organizations. USDA provides zero-interest loans to local utilities which they, in turn, pass through to local businesses (ultimate recipients) for projects that will create and retain employment in rural areas. The ultimate recipients repay the lending utility directly. The utility then is responsible for repayment to USDA. USDA provides grants to local utility organizations which use the funding to establish Revolving Loan Funds (RLF). Loans are made from the revolving loan funds to projects that will create or retain rural jobs. When the revolving loan fund is terminated, the grant is repaid to USDA.The Agency anticipates the following maximum amounts per award: Loans - $2,000,000; Grants - $300,000.</t>
  </si>
  <si>
    <t>PD Poland Annual Program Statement</t>
  </si>
  <si>
    <t>DOS-POL</t>
  </si>
  <si>
    <t>U.S. Mission to Poland</t>
  </si>
  <si>
    <t>Others (see text field entitled "Additional Information on Eligibility" for clarification)  	Appropriately registered not-for-profit organizations, including think tanks and civil society/non-governmental organizations with programming experience; 	Individuals to include alumni of U.S. government sponsored exchange programs; and  	Non-profit or governmental educational institutions including public libraries, schools, and universities.For-profit or commercial entities are not eligible to apply.</t>
  </si>
  <si>
    <t xml:space="preserve">Purpose of Grants: PD Poland invites proposals for programs that strengthen ties between the United States and Poland through activities that highlight shared values, promote bilateral cooperation, and forge enduring connections between the United States and emerging Polish leaders (high school students, university students, and young professionals ages 16 to 35), as well as established community leaders in the public, private, and nonprofit sectors. All proposals are required to have a clear connection to the United States, either through U.S. organizations, experts, and/or best practices in order to increase the awareness and understanding of U.S. perspectives, policies, and society. Proposals without significant U.S. content will not be considered for funding.
Examples of possible public diplomacy grant activities include, but are not limited to:
 Youth engagement programs.
 Participatory and/or problem-solving workshops like â€œtech camps.â€
 Soft skills and leadership-building workshops, seminars, and trainings that develop human capital and social or economic innovation.
Â· Workshops, seminars, trainings, master classes, and exhibitions on themes or topics that advance shared democracy, economic, and security goals. 
Â· Programs that reinforce and amplify lessons learned by Polish alumni of U.S. Government-funded and private sector exchange programs.
Priority Program Areas:
ECONOMIC PROSPERITY
Â· Addressing barriers to the advancement of women in STEM fields and business.
Â· Strengthening the business skills of young entrepreneurs.
Â· Sharing best practices of U.S. businesses operating in Poland.
Â· Promoting the development of trade and investment with the United States, including entrepreneurship, small- and medium-sized businesses, and innovation as the basis for strong, sustainable, inclusive economic growth that creates quality employment and incorporates diverse and excluded groups.
Â· Promoting joint Polish-U.S. science, space, and innovation initiatives carried out by research organizations, nongovernmental organizations, universities, and private companies.
ENSURING SECURITY
Â· Demonstrating the benefits of the of the Polish-U.S. security partnership and NATO Alliance for Polish emerging leaders (high school and university students ages 15-25 and/or young professionals ages 25-34). 
 Promoting a deeper understanding of the impact of Polish and U.S. political, military, and humanitarian support for Ukraine and for Ukrainians in Poland.
Â· Strengthen cyber security awareness. 
STRENGTHENING DEMOCRACY
 Leadership training fostering innovation and critical thinking among young people (ages 16 to 24). 
 Strengthening media practitionersâ€™ and media consumersâ€™ media literacy and ability to detect and combat mis/disinformation.
 Promoting Holocaust education and/or human rights education.
Participants and Audiences:
Proposals should describe both the primary and secondary audiences for the program, including anticipated numbers to be reached. Primary audiences are those who will participate directly in the program, while secondary audiences are those who will be reached by the projectâ€™s primary audiences as a result of their participation. Priority target audiences in Poland for this funding opportunity are youth and young professionals (aged 16 to 35) who have demonstrated strong leadership potential, established professionals engaged in fields relevant to the U.S.-Polish partnership, and community leaders.
The following types of programs are not eligible for funding:
 Programs relating to partisan political activity;
 Charitable, clinical (including mental health services), or development activities;
 Construction programs;
 Programs that support specific religious activities;
 Fund-raising campaigns;
 Lobbying for specific legislation or programs;
 Academic or scientific research;
 Programs intended primarily for the growth or institutional development of the organization; and
 Individual travel to attend a conference and/or courses at any educational institution.
This funding opportunity aims to support specific projects with objectives that can be achieved within a set timeframe. We will not accept applications that are aimed more broadly at supporting your organizationâ€™s usual or typical daily activities and operations. Those will be deemed technically ineligible and will not be considered for funding by the review committee.
 </t>
  </si>
  <si>
    <t>U.S. Army Research Institute for the Behavioral and Social Sciences Broad Agency Announcement for Basic Research (Fiscal Year 2025)</t>
  </si>
  <si>
    <t>DOD-AMC</t>
  </si>
  <si>
    <t>Dept of the Army -- Materiel Command</t>
  </si>
  <si>
    <t>Others (see text field entitled "Additional Information on Eligibility" for clarification) Eligible Applicants: Proposals are sought from institutions of higher education, non-profit organizations, and commercial entities, domestic or foreign, for research and development (R D) in those areas specified in SECTION II. A of this BAA. Foreign owned, controlled, or influenced organizations are advised that security restrictions may apply that could preclude their participation in these efforts. Countries included on the U.S. State Department List of Countries that Support Terrorism are excluded from participation in these efforts. Government Laboratories, Federal Funded Research and Development Centers (FFRDCs), and U.S. Service Academies are not eligible to participate as prime Contractors or Recipients under this BAA. If a proposal selected for award includes the involvement of a Government laboratory, Federally Funded Research and Development Center, or U.S. Service Academy, award funds allocated for the involvement of Government laboratories, FFRDCs, and/or U.S. Service Academies will be directly provided from ARI to the respective Government laboratory, FFRDC or U.S. Service Academy via a Military Interdepartmental Purchase Request (MIPR). No award funds will be channeled directly from a prime awardee (e.g., Contractor or Recipient) to a Government laboratory, FFRDC, or U.S. Service Academy.</t>
  </si>
  <si>
    <t>This Broad Agency Announcement (BAA) for the Foundational Science Research Unit (FSRU) of the U.S. Army Research Institute for the Behavioral and Social Sciences (ARI) solicits new proposals for its fiscal year 2025 program of basic research in behavioral science. It is issued under the provisions of paragraph 6.102(d) (2) and 35.016 of the Federal Acquisition Regulation (FAR), which provides for the acquisition of basic and applied research and that part of development not related to the development of a specific system or hardware procurement through the competitive selection of proposals and 10 U.S.C. 4001, 10 U.S.C. 4021, and 10 U.S.C. 4022.To meet the operational objectives of the U.S. Army over the next two decades, the Army must improve its capability to acquire, develop, employ, and retain Soldiers and leaders who can individually and as part of a group:Â· Prepare for and adapt quickly to dynamic missions, unpredictable operational environments, and a wide spectrum of contexts;Â· Effectively function autonomously and as part of larger systems in complex, information-rich environments;Â· Perform in extended, hybrid, and continuous operations;Â· Interact and collaborate effectively in joint-service and multi-national operations.ARI requests proposals to conduct basic research that will provide a scientific foundation to support these broad capabilities.The Basic Research program focuses on three strategic areas for advancing personnel science.1. Science of Measurement of Individuals and Collectives: Advanced psychometric theory for deriving valid measurements from complex assessments and continuous streams of data2. Understanding Multilevel and Organizational Dynamics: Multilevel theory and methods for understanding dynamic restructuring, coordination, and composition processes in teams and complex organizations3. Formal/Informal Learning and Development: Holistic models of individual and collective learning and development across work settings and contexts throughout the career spanTo be eligible for an award under this announcement, a potential awardee must meet certain minimum standards pertaining to financial resources and responsibility, ability to comply with the performance schedule, past performance, integrity, experience, technical capabilities, operational controls, and facilities. In accordance with Federal statutes, regulations, and Department of Defense and Army policies, no person on grounds of race, color, age, sex, national origin, or disability shall be excluded from participation in, be denied the benefits of, or be subjected to discrimination under any program or activity receiving financial assistance from the Army.Response Dates (Submissions):White Paper submissions must be received by: 5:00 PM/1700 Eastern Standard Time (EST) on 1 March 2024Proposal submissions must be received by: 5:00 PM/1700 Eastern Daylight Time (EDT) on 1 July 20242024 Response Dates (Questions):Questions regarding White Papers must be submitted in writing to meghan.i.huntoon.civ@army.mil by: 5:00 PM/1700 Eastern Standard Time (EST) on 14 February 2024Questions regarding Proposals must be submitted in writing to meghan.i.huntoon.civ@army.mil by: 5:00 PM/1700 Eastern Daylight Time (EDT) on 15 June 2024</t>
  </si>
  <si>
    <t>U.S. Embassy Lilongwe Public Diplomacy Section Annual Program Statement</t>
  </si>
  <si>
    <t>DOS-MWI</t>
  </si>
  <si>
    <t>U.S. Mission to Malawi</t>
  </si>
  <si>
    <t>Others (see text field entitled "Additional Information on Eligibility" for clarification) PDS encourages applications from organizations or individuals located in Malawi, the United States, or elsewhere. Preference will be given to organizations or individuals based in Malawi during the project period. Registered not-for-profit organizations, including think    tanks and civil society/non-governmental organizations    with programming experience, Individuals, Non-profit or governmental educational institutions. Governmental institutions For-profit or commercial entities are not eligible to apply.</t>
  </si>
  <si>
    <t>U.S. Embassy Lilongweâ€™s Public Diplomacy Section (PDS) is pleased to announce that we are accepting proposals for our Small Grants Program. This announcement is an Annual Program Statement outlining our funding priorities, the strategic themes on which we focus, and the procedures for submitting funding requests. Please read this document carefully and follow all instructions. This notice is subject to the availability of funding.Purpose of Small Grants: PDS invites proposals for projects that strengthen ties between the United States and Malawi through programming that highlights shared values and promotes bilateral cooperation. All programs must include an American cultural element or connection with American expert/s, organization/s, or institution/s in a specific field that will promote increased understanding of U.S. policies and perspectives in Malawi.Examples of programs implemented through the PDS Small Grants Program include, but are not limited to:U.S. experts conducting lectures, seminars, or speaking tours with Malawian audiences.Artistic and cultural workshops, joint performances, and exhibitions.Professional and academic exchanges and programs.Cultural heritage conservation and preservation programs.Programs developed by an alumnus/a of a U.S. sponsored or supported educational or professional exchange program.Initiatives aimed at maintaining contact with alumni of U.S. exchange programs.Projects to promote English language teaching skills or widen access to books and other sources of information about the United States.</t>
  </si>
  <si>
    <t>Bat Immunology Network Research Projects (R01 Clinical Trial Not Allowed)</t>
  </si>
  <si>
    <t>The purpose of this Notice of Funding Opportunity (NOFO) is to support research to characterize cellular and molecular constituents of the bat immune system and to understand protective innate and adaptive immune mechanisms in bats.  Research projects supported by this NOFO will form a collaborative research network to advance understanding of the bat immune response.</t>
  </si>
  <si>
    <t>Bat Immunology Network Research Resource Program (U24 Clinical Trial Not Allowed)</t>
  </si>
  <si>
    <t>The purpose of this Notice of Funding Opportunity (NOFO) is to support the development and validation of reagents/tools to support research to characterize cellular and molecular constituents of the bat immune system and for the study of protective innate and adaptive immune mechanisms in bats.  The Research Resource Program established by this NOFO will participate within a collaborative research network to advance understanding of the bat immune response.</t>
  </si>
  <si>
    <t>U.S. Embassy BURKINA FASO PDS Annual Program Statement</t>
  </si>
  <si>
    <t>DOS-BFA</t>
  </si>
  <si>
    <t>U.S. Mission to Burkina Faso</t>
  </si>
  <si>
    <t>Others (see text field entitled "Additional Information on Eligibility" for clarification) Participants and Audiences:PDS Burkina Faso s target audiences include national and regional media; NGOs and think tanks; underserved communities; universities; government officials (state, district, and municipal officials; policy makers; civil servants); cultural and educational leaders; next generation leaders (e.g., innovators, digital influencers, campus leaders). All proposals should focus on engaging Burkinabe in Burkina Faso. Proposals will be evaluated based on a well-reasoned strategy for the intended audience, as well as appropriate inclusivity, whether based on gender, religion, sexual orientation, age, or disability.The following types of programs are not eligible for funding:  	Programs relating to partisan political activity; 	Charitable or development activities; 	Construction programs; 	Programs that support specific religious activities; 	Fund-raising campaigns; 	Lobbying for specific legislation or programs 	Scientific research; 	Programs intended primarily for the growth or institutional development of the organization; or 	Programs that duplicate existing programs; 	Profit-generating projects; 	Scholarships to support educational opportunities or study for individuals. Individuals interested in educational exchange or study opportunities in the United States should visit https://bf.usembassy.gov/ for more information on available programs.The Public Diplomacy Section encourages applications from organizations and individuals in the United States and Burkina Faso with Burkina Faso as the implementing country base. Eligible entities include: 	Registered not-for-profit organizations, including think tanks and civil society/non-governmental organizations with programming experience; 	Individuals;  	Non-profit or governmental educational institutions; 	Governmental institutions.For-profit or commercial entities are not eligible to apply.  Cost Sharing or MatchingCost sharing is encouraged, but not required.Other Eligibility RequirementsApplicants may submit only one proposal per organization. If more than one proposal is submitted from an organization, all proposals from that institution will be ineligible for funding.All organizations applying for grants (except individuals) must register with www.SAM.gov to obtain a UEI (Unique Entity Identifier) number. There is no fee to register. Please start the registration process as soon as possible, as it can be a lengthy process. PDS Burkina Faso cannot provide a grant to organizations who have not obtained a UEI.</t>
  </si>
  <si>
    <t xml:space="preserve">The U.S. Embassy BURKINA FASO Public Diplomacy Section (PDS)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 This notice is subject to availability of funding.
Purpose of Small Grants: PDS Burkina Faso invites proposals for programs that strengthen cultural ties between the U.S. and BURKINA FASO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Examples of PDS Small Grants Program programs include, but are not limited to:
Â· Academic and professional lectures, seminars and speaker programs;
Â· Artistic and cultural workshops, joint performances and exhibitions;
Â· Cultural heritage conservation and preservation programs;
Â· Professional and academic exchanges and programs;
Â· Civic education projects that promote democratic processes and human rights;
Â· New media concepts projects aimed at reaching wider audiences;
Â· Youth community service projects that promote democratic processes and encourage volunteerism;
Â· Development of initiatives aimed at maintaining contacts with alumni of U.S. exchange programs.
Priority Program Areas:
Â· Programs to bolster understanding and practices of Democracy, Human Rights, and Good Governance. This may include projects that encourage participation in civil society, especially for women, religious minorities, and youth.
Â· Programs that seek to promote a better understanding of diversity, inclusion, religious freedom, gender rights, persons with disabilities, underrepresented or otherwise disadvantaged communities, and/or other aspects of human rights. 
Â· Creative programs that advance one or more of the priority areas listed above, to include but not be limited to, economic empowerment, youth development, peace and security. 
Â· Programs promoting English language capacity through projects that encourage the usage and learning of English language as a tool for civic and economic development.
Â· Programs that increase transparency, media professionalism, access to diverse new sources, media literacy, etc. Projects may develop the capacity of Burkinabe media, a tradition of fact-checking and research for journalists and/or media consumers, capitalize on social media use for greater transparency, and/or expand such programs beyond the capital and secondary cities.
Authorizing legislation, type and year of funding:
The source of funding is FY2024 Public Diplomacy Funding. </t>
  </si>
  <si>
    <t>Service Coordinators in Multifamily Housing (SCMF) Discretionary</t>
  </si>
  <si>
    <t>Others (see text field entitled "Additional Information on Eligibility" for clarification) Be assisted or financed through any of the following programs:(1) Section 202 Direct Loan, 12 USC 1701q, as such section existed before the enactment of the Cranston-Gonzalez National Affordable Act(2) Project-based Section 8 (including Section 8 Moderate Rehabilitation), or(3) Section 221(d)(3) below-market interest rate Property was designed or designated for the elderly persons or persons with disabilities and continue to operate as such. This includes any building within a mixed-use development that was designed for occupancy by elderly persons or persons with disabilities at its inception and continues to operate as such, or consistent with title VI, subtitle D of the Housing and Community Development Act of 1992 (Pub. L. 102-550). If not so designed, a property in which the owner gives preferences in tenant selection (with HUD approval) to eligible elderly persons or persons with disabilities for all units in that property.  Individuals, foreign entities, and sole proprietorship organizations are not eligible to compete for, or receive, awards made under this announcement.</t>
  </si>
  <si>
    <t>The Service Coordinators in Multifamily Housing (SCMF) program supports service coordinator positions for elderly individuals and non-elderly persons with disabilities living in HUD assisted housing. Service coordinators play a critical role in connecting older adults and persons with disabilities with community-based supportive services for independent living and reducing premature and unnecessary transitions to higher levels of care. Service Coordinators work to promote access to resources, financial security, social connections, health and well-being for residents in assisted housing. Service coordinators help residents identify and access supportive services that will enable them to continue living independently in the community and age in place. Participation in the service coordinator program is voluntary, and residents choose which services they accept. Service coordinators work with residents and their families to identify the individual needs and preferences of residents and connect them with appropriate resources. Services may include nutrition support, housekeeping and shopping assistance, coordination with healthcare providers, help accessing public benefits, financial management assistance, and other services that support Activities of Daily Living (ADLs) and Instrumental Activities of Daily Living (IADLs) including services for persons with severe disabilities. Service coordinators also organize educational programming that gives residents tools to support independent living, and help property management better understand the service and support needs of their particular resident population.</t>
  </si>
  <si>
    <t>U.S. Embassy Eswatini Public Diplomacy Section Annual Program Statement</t>
  </si>
  <si>
    <t>DOS-SWZ</t>
  </si>
  <si>
    <t>U.S. Mission to Eswatini</t>
  </si>
  <si>
    <t>Others (see text field entitled "Additional Information on Eligibility" for clarification) Applicants should be Emaswati or currently residing in Eswatini, although exceptions could apply.  The programs must take place in, and be focused on, Eswatini.  Applications are encouraged from all sectors.The following entities are eligible to apply: 	Registered not-for-profit organizations, including think tanks and civil society/non-governmental organizations with programming experience 	Individuals  	Non-profit or governmental educational institutions 	Governmental institutionsFor-profit or commercial entities are not eligible to apply.</t>
  </si>
  <si>
    <t xml:space="preserve">PD Eswatini invites proposals for programs that strengthen cultural ties between the U.S. and Eswatini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Examples of PD Small Grants Program programs include, but are not limited to:
Â· Academic and professional lectures, seminars and speaker programs;
Â· Artistic and cultural workshops, joint performances and exhibitions;
Â· Cultural heritage conservation and preservation programs;
Â· Professional and academic exchanges and programs;
Programs developed by an alumnus of a U.S.-sponsored or supported educational or professional exchange program. </t>
  </si>
  <si>
    <t>Streamlining mental health interventions for youth living with HIV in Low- and Middle-Income Countries (R01 Clinical Trial Optional)</t>
  </si>
  <si>
    <t>This initiative would solicit research to target gaps in our knowledge about how best to address the mental health needs of YLWH in low- and middle-income countries in ways that are easy to scale up. There are two main goals of the initiative. The first is to increase the number of  mental health interventions that are tailored to the unique needs of adolescents living with HIV, both in terms of their developmental needs as well as the issues they have to attend to as a result of living with a chronic, stigmatized disease. The second goal is to ensure that interventions are streamlined so that they can be implemented in resource-limited settings.</t>
  </si>
  <si>
    <t>Mind, Machine and Motor Nexus</t>
  </si>
  <si>
    <t>The Mind, Machine and Motor Nexus (M3X) Program supports fundamental research that explores embodied reasoning as mediated by bidirectional sensorimotor interaction between human and synthetic actors. For the purposes of this program, embodiment is defined as the capacity to interact with physics-based environments. 
_x000D_
Interaction between human and synthetic actors is expanding in scale and scope across numerous fields and endeavors. Among these are areas where safety and performance are paramount, but also where ingenuity and risk-taking are essential to success. The M3X Program seeks to spur innovative and path-breaking work that can improve understanding of interaction between human and synthetic actors in a broad range of settings, while also exploring implications for the advancement of fundamental theory, foundational technologies, and meaningful applications. Successful submissions to the M3X program will therefore advance knowledge by exploring the convergence of human and synthetic actors  capabilities and actions during the performance of tasks situated within physics-based environments.
_x000D_
The following key concepts define the M3X program and therefore must be captured in any competitive proposal submitted to the program:
_x000D_
_x000D_
Human and Synthetic Actors, which refer respectively to human beings and to embodied constructs with the additional capacity for engaging in sensorimotor interactions (defined below) as enabled by a potentially wide range of capabilities such as sensing, reasoning, communicating, interacting, and learning. Competitive proposals to the M3X program must consider the interaction between at least one human actor and at least one synthetic actor._x000D_
Sensorimotor interaction, which refers to the exchange of information between at least one human actor and at least one synthetic actor through any sensorimotor channel (e.g., haptic, visual, etc.) available to human or synthetic actors in real, virtual or hybrid environments. This interaction must be bidirectional between human and synthetic actors._x000D_
Embodied reasoning, which refers to the capability of human and synthetic actors to engage in cognitive activities that produce knowledge or expectations about each other (e.g., via intent detection, trust-building, social engagement, etc.). Such capability must be enabled or evolved through sensorimotor interaction, in a physics-based environment. Other aspects of embodied reasoning such as understanding of task requirements or of the environment within which co-activities are embedded may also be present._x000D_
Physics-based environment, which refers to a real and/or simulated environment where laws of physics are defined and applied to objects and to interactions within that environment._x000D_
_x000D_
The M3X program encourages research on sensorimotor interaction and embodied reasoning between human and synthetic actors in real, virtual, or hybrid settings, over a range of spatial and temporal scales, and for different modes of interaction. The M3X program supports research derived from conceptual, mathematical, empirical, experimental, computational, and cross-cutting perspectives, among others. Multi-disciplinary perspectives are encouraged but must be integrated to promote a holistic treatment of the research.
_x000D_
Topics of interest to the M3X program include   but are by no means limited to   collaboration, cooperation, and competition among human and synthetic actors; the role of virtual, mixed and hybrid environments in decision making and learning; new approaches to modeling, guiding and controlling processes of reasoning and interaction; as well as the development of research infrastructure (including open source instrumentation, models, data and environments) that will accelerate research in this area.
_x000D_
Proposals that do not engage each of the three concepts listed above (i.e., human and synthetic actors linked through sensorimotor interaction and with capabilities for embodied reasoning) may be returned without review. Research involving only a single human actor or a single synthetic actor is not appropriate for the M3X program and should be directed towards other NSF programs. Similarly, research that does not include interaction with a physics-based environment, such as interaction between actors based exclusively on language or exchange of characters on a screen, is also not appropriate for the M3X program.</t>
  </si>
  <si>
    <t>Global Competitive Analysis</t>
  </si>
  <si>
    <t>DOD-WHS</t>
  </si>
  <si>
    <t>Washington Headquarters Services</t>
  </si>
  <si>
    <t>Others (see text field entitled "Additional Information on Eligibility" for clarification) Public and private agencies, organizations, institutions, and individuals are invited to apply. Offerors must be registered in the System for Award Management (SAM) before submission of the application. Information on SAM registration is available at https://www.sam.gov/portal/public/SAM. The offeror must provide a valid unique entity identifier (UEI) on their application.</t>
  </si>
  <si>
    <t xml:space="preserve">The Basic Research Office (BRO) within the Office of the Undersecretary of Defense for Research and Engineering seeks proposals to assess and report on Global Competitive Analysis (GCA). The recipient will collaborate with the federal government to deliver comparative analysis assessing the relative science and technology (S T) competitive balance between the United States and major global competitors. Given the breadth of the expertise and perspectives likely needed to deliver GCA products at the scale and analytic depth required, BRO expects that recipients would need to form a consortium of FFRDCs, UARCs, universities, non-profits, or other non-governmental entities. This being said, a consortium is not required and other teaming arrangements are eligible for award.The recipient will prepare reports that assess the myriad elements of relative technology leadership, explore the implications of competitorsâ€™ actions, provide a common operating picture of global technological competition, and create a forum to explore policy options. The recipient will serve as a key performer of the GCAT (Global Competitive Analysis Team), a federated interagency mechanism that brings together agenciesâ€™ unique analytic capabilities in order to conduct GCA. The recipient will integrate their independent analysis with agency analysis to deliver products that are more than the sum of the parts.The recipient will take its priorities and guidance from an Executive Office of the President-led Panel (â€œEOP Panelâ€) that includes senior representation from relevant federal agencies. In the first year of the program, initial topics, currently four in number, are provided to set the direction of the recipient, with input from the EOP Panel once the Panel has been established.The recipient is expected to have capability in all of the sub-elements described in Section C. However, to diversify the analysis and ensure that multiple views are represented in each GCA product, the recipient is expected to continuously identify and include external/additional performers possessing strong capabilities in a subset of the described elements, as necessary. </t>
  </si>
  <si>
    <t>U.S. Embassy Kampala Public Diplomacy Annual Program Statement</t>
  </si>
  <si>
    <t>DOS-UGA</t>
  </si>
  <si>
    <t>U.S. Mission to Uganda</t>
  </si>
  <si>
    <t>Others (see text field entitled "Additional Information on Eligibility" for clarification)  	Registered not-for-profit organizations, including think tanks and civil society/non-governmental organizations with programming experience._x000D_
 	Individuals _x000D_
 	Non-profit or governmental educational institutions_x000D_
 	Governmental institutions</t>
  </si>
  <si>
    <t>The U.S. Embassy Kampala Public Diplomacy Section (PDS)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funding.The objectives of the Public Diplomacy Grant Program are to promote understanding and foster positive relations between the people of Uganda and the United States; reinforce shared values on the topics listed below; and connect high potential Ugandan youth and young professionals (aged 16 to 35) as well as established professional leaders to the American people. All programs must include an American cultural element, or connection with American expert/s, organization/s, or institution/s in a specific field that will promote increased understanding of U.S. policy and perspectives.</t>
  </si>
  <si>
    <t>F24AS00198 Refuge System Enhancement/Non-Infrastructure</t>
  </si>
  <si>
    <t xml:space="preserve">Native American tribal organizations (other than Federally recognized tribal governments) Other Organizations that have an established Memorandum of Understanding (MOU) with FWS such as 501(c) 4 or 501(c) 5 nonprofit organizations that are labor unions, neighborhood associations, or other types of eligible organizations, including those that reach or represent potentially underserved communities. </t>
  </si>
  <si>
    <t>Thank you for your interest in partnering with the US Fish and Wildlife Service (FWS).Under this Notice of Funding Opportunity, "refuge" refers to an area designated as part of the National Wildlife Refuge System managed by the U.S. Fish and Wildlife Service.Â Other items to note in the Notice of Funding Opportunity:The purpose of this Notice of Funding Opportunity is to provide cooperative agreements and grants to enableÂ nonprofit groups and others to partner with a specific FWS site, FWS Regional office, or FWS headquarters to accomplish FWS work.The FWS site/office requesting the work must fund the project. There is no money set aside at headquarters to do these projects. Therefore, the project budget is limited to the amount the FWS site/office has available.The FWS site/office requesting the work must be substantially involved in the project.The FWS site/office requesting the work must collaboratively work with the potential partner to develop the project narrative and budget.The Congressional authority for this Notice of Funding Opportunity does not include the authority to purchase land.FWS uses GrantSolutions to manage financial assistance applications and awards.Â ApplicantsÂ mustÂ registerÂ inÂ and conductÂ anyÂ subsequentÂ awardÂ businessÂ withÂ FWS in GrantSolutions. To apply, your organization and organization officials must be established in GrantSolutions. For further details, please see section D7 of this Notice of Funding Opportunity. If using Grants.gov rather than GrantSolutions to apply, please consider submitting the application a couple of weeks early because there is often a delay in the transfer of applications from Grants.gov to GrantSolutions.FWSÂ mayÂ not makeÂ aÂ FederalÂ awardÂ toÂ an applicantÂ thatÂ hasn'tÂ completedÂ theSAM.gov registration.DomesticÂ recipientsÂ are requiredÂ toÂ registerÂ inÂ andÂ receiveÂ paymentÂ throughÂ theU.S.Â Treasuryâ€™s Automated Standard Application for Payments (ASAP), unless approved for a waiver by the ServiceÂ program.The U.S. Fish and Wildlife Service (FWS) is the premier government agency dedicated to the conservation,Â protection,Â andÂ enhancementÂ ofÂ fish,Â wildlife andÂ plants,Â andÂ theirÂ habitats.Â WeÂ are the only agency in the federal government whose primary responsibility is the conservation and management of these important natural resources for the American public.FWS origins date back to 1871 when Congress established the U.S. Fish Commission to study the decrease in the nationâ€™s food fishes and recommend ways to reverse that decline. Today, we are a diverse and largely decentralized organization, employing about 8,000 dedicated professionalsÂ workingÂ outÂ ofÂ facilitiesÂ acrossÂ theÂ country, includingÂ aÂ headquartersÂ officeÂ inÂ Falls Church, Virginia, and eight Regional offices.The National Non-Infrastructure Partnerships initiative encourages US Fish and Wildlife Service fieldÂ stationsÂ toÂ partnerÂ withÂ local,Â regional, andÂ nationalÂ nonprofit organizations,Â other land management groups, state, and tribal partners, and others to accomplish projects that:promoteÂ theÂ stewardshipÂ of FWS resourcesÂ throughÂ habitat maintenance, restoration, and improvement, biological monitoring, or research;increase awareness and understanding of FWS programs and resourcesÂ throughÂ theÂ development,Â publication,Â orÂ distributionÂ ofÂ educationalÂ materials and products;advanceÂ educationÂ concerningÂ theÂ missionÂ of FWSÂ through the use of FWS sites as an outdoor classroom to combine educational curricula with the personal experiences of students relating to fish, wildlife, and plants and their habitat, and to FWS cultural and historical resources, and development of other educational programs;promoteÂ theÂ understandingÂ of,Â educationÂ relating to,Â andÂ theÂ conservationÂ ofÂ fish, wildlife, plants, and cultural and historical resources;improveÂ scientific literacy.</t>
  </si>
  <si>
    <t>U.S. Embassy Jakarta PAS Annual Program Statement</t>
  </si>
  <si>
    <t>DOS-IDN</t>
  </si>
  <si>
    <t>U.S. Mission to Indonesia</t>
  </si>
  <si>
    <t>Others (see text field entitled "Additional Information on Eligibility" for clarification) Eligible ApplicantsEmbassy Jakarta welcomes applications from:  U.S.-based and Indonesia-based non-profit organizations/nongovernment organizations (NGOs);  U.S.-based and Indonesia-based public, non-profit, private, or state institutions of higher education; and  Public International Organizations / Public Entity  Applications from organizations that include alumni of U.S. Government exchange programs are highly encouraged.For-profit or commercial entities are not eligible to apply. Individual applicants are not eligible to apply.</t>
  </si>
  <si>
    <t>Purpose of Small Grants:The U.S. Embassyâ€™s Public Affairs Section (PAS) in Jakarta invites proposals for projects that further and support the strategic partnership between Indonesia and the U.S. through educational, cultural, informational, and media programming that highlights shared values and promotes bilateral cooperation. All programs must include an American cultural or media-related element, or a connection with American expert/s, organization/s, or institution/s in a specific field that will promote increased understanding of U.S. policy and perspectives.Examples of small grants projects include but are not limited to:â€¢ Educational seminars, and expert speaker programs;â€¢ Professional and academic exchanges and projects;â€¢ Professional development workshops and training;â€¢ Artistic and cultural workshops, joint performances, and exhibitions; andâ€¢ Cultural heritage conservation and preservation projects.</t>
  </si>
  <si>
    <t>F24AS00176 Refuge System Enhancement/ Infrastructure 2024</t>
  </si>
  <si>
    <t xml:space="preserve">Native American tribal governments (Federally recognized) Be nonprofit organization, or an accredited institution of higher education.Have accounting principles.Have policies that industry standards and thorough in mitigating and managing risk.Contribute a minimum of 50% of the total costs of the project, either as cash or qualified third-party in-kind contributions which can include donations of items considered a reasonable expense of the project such as labor, materials, supplies, or equipment loans.Other Organizations that have an established Memorandum of Understanding (MOU) with FWS such as 501(c) 4 or 501(c) 5 nonprofit organizations that are labor unions, neighborhood associations, or other types of eligible organizations, including those that reach or represent potentially underserved communities. </t>
  </si>
  <si>
    <t>The U.S. Fish and Wildlife Service (FWS) is the premier government agency dedicated to the conservation, protection, and enhancement of fish, wildlife and plants, and their habitats. We are the only agency in the federal government whose primary responsibility is the conservation and management of these important natural resources for the American public.FWS origins date back to 1871 when Congress established the U.S. Fish Commission to study the decrease in the nationâ€™s food fishes and recommend ways to reverse that decline. Today, we are a diverse and largely decentralized organization, employing about 8,000 dedicated professionals working out of facilities across the country, including a headquarters office in Falls Church, Virginia, and eight Regional offices.The National Infrastructure Partnerships initiative of the US Fish and Wildlife Service (FWS) encourages National Wildlife Refuge System field stations to partner with local, regional, and national nonprofit organizations, other land management groups, state and tribal partners, and others to accomplish projects that:i. promote the stewardship of Refuge System resources through habitat maintenance, restoration, and improvement, andii. support the operation and maintenance of the Refuge System through constructing, operating, maintaining, or improving the facilities and services of the Refuge System.The goals of the initiative are to enable local communities to play a more active role in increasing outdoor recreation opportunities on refuge lands and waters, to be more focused and deliberate in using partnerships to help FWS address infrastructure repair and improvement needs such as proactive maintenance and the maintenance backlog, and to enhance wildlife habitat.Additionally, this initiative can help address multiple FWS priorities as a catalyst for:Economic and Conservation EnhancementCareer Training and Mentoring Opportunities for Youth and AdultsEquity and Inclusion in Conservation and RecreationClimate and Wildlife ResilienceCommunity HealthSuccessful projects will address identified FWS priorities or projects at FWS sites that enhance the visitor experience, promote wildlife-dependent outdoor recreation, provide sustainable wildlife habitat, provide career training and mentoring opportunities, and engage the community in opportunities to participate in wildlife-dependent outdoor recreation on FWS lands and waters.See Full Announcement for additional eligibility requirements.</t>
  </si>
  <si>
    <t>U.S. Embassy Yaound  PDS Annual Program Statement   Statement of Interest (SOI)</t>
  </si>
  <si>
    <t>Others (see text field entitled "Additional Information on Eligibility" for clarification)   Registered not-for-profit organizations, including think tanks, community associations, and civil society/non-governmental organizations with programming experience  Individuals  Non-profit media organizations  Professional trade organizations   Non-profit or governmental educational institutions</t>
  </si>
  <si>
    <t xml:space="preserve">The U.S. Embassy YaoundÃ© Public Diplomacy Section (PDS) announces the availability of funding through its Public Diplomacy Small Grants Program. This is an annual request for Statements of Interest (SOI), outlining funding priorities, strategic themes, and procedures for submitting requests for funding. Please carefully read and follow all instructions below. 
 The submission of a SOI is the first step in a two-part process. Applicants must first submit a SOI, which is a concise, 3-page concept note designed to clearly communicate a program idea and its objectives before the development of a full proposal application. The purpose of the SOI process is to allow applicants the opportunity to submit program ideas for evaluation prior to undertaking the development of full proposal. Upon review of eligible SOIs, PDS will invite selected applicants to expand their ideas into full proposal applications. 
Purpose of Small Grants: The PDS grants program supports projects proposed by U.S. and Cameroonian academic, cultural, educational, and other non-profit organizations and/or individuals that promote U.S. values, increase understanding between U.S. and Cameroonian people and institutions, and/or support U.S. Embassy goals of promoting government transparency and accountability, economic prosperity, peace and security, environmental sustainability, and climate adaptation. All programs must include an element of American culture or society, or connection with American expert/s, organization/s, or institution/s that will promote increased understanding of U.S. policy and perspectives. Priority Program Areas: 
Â· Projects promoting democratic principles, improved and inclusive governance, transparency, human rights, religious freedom, empowerment of marginalized groups, citizen engagement, including in elections, civic education, and civil society.  
Â· Projects promoting economic prosperity, entrepreneurship, bilateral trade and investment, countering corruption 
Â· Projects promoting peace and security, rule of law, alternatives to violence in resolving conflict, tolerance, preventing radicalization to violence, improving mutual understanding between groups, community policing 
Â· Sustainability and Climate Change: Projects promoting environmental sustainability and addressing climate change 
Â· Projects promoting a professional and independent media, role of informed citizens in a democracy, media literacy, ethical and investigative journalism.  Examples of PDS Small Grants Programs include, but are not limited to
: 
Â· U.S. experts conducting lectures, seminars, or speaking tours with Cameroonian audiences 
Â· Artistic and cultural workshops, joint performances, and exhibitions 
Â· Cultural heritage conservation and preservation programs 
Â· Professional and academic exchanges and programs 
Â· Libraries, community centers, or other institutions that are interested in becoming an American Space 
Â· Programs developed by an alumnus/a of a U.S. sponsored or supported educational or professional exchange program 
Â· Projects to promote English language teaching skills or widen access to books and other sources of information about the United States </t>
  </si>
  <si>
    <t>F24AS00175- Rapid Response Fund for Aquatic Invasive Species</t>
  </si>
  <si>
    <t>Native American tribal governments (Federally recognized) Federal and state agencies, U.S. territory agencies, interstate organizations (as defined by 16 USC   4702(10)), and Federally recognized Indian Tribal Governments and Native American Organizations authorized by Indian tribal governments (as identified within the Federal Register Notice  Indian Entities Recognized by and Eligible To Receive Services From the United States Bureau of Indian Affairs ) may apply for funding.Additional Eligibility information is identified in section C3 below.</t>
  </si>
  <si>
    <t>Background: The Aquatic Nuisance Species Task Force (ANSTF) was established by the Nonindigenous Aquatic Nuisance Prevention and Control Act (NANPCA) of 1990, 16 U.S.C. 4721-28, as amended. The ANSTF serves to develop and implement a program for waters of the United States to prevent introduction and dispersal of ANS (also known as aquatic invasive species or AIS), monitor, control, and study such species, and disseminate related information. Co-chaired by the U.S. Fish and Wildlife Service and the National Oceanic and Atmospheric Administration, the ANSTF consists of Federal agency representatives and ex-officio representatives that work in conjunction with six regional panels and issue-specific subcommittees to coordinate efforts related to AIS across the Nation.Although prevention is the most cost-effective approach to eliminating or reducing the threat of invasive species, Early Detection and Rapid Response (EDRR) serves as a fail-safe when prevention measures are ineffective or unavailable. The Department of the Interior (DOI or the Department) in coordination with federal agencies, states, tribes, territories, and other partners published â€œSafeguarding Americaâ€™s Lands and Waters from Invasive Species â€“ A National Framework for Early Detection and Rapid Responseâ€ in 2016. This report called for a focus on coordination and partnerships, science and technology, and strategic on-the-ground actions to detect invasive species that pose the greatest risk and swiftly respond to eradicate them before they establish, spread, and cause adverse impacts. As part of strategically implementing funding made available through the Bipartisan Infrastructure Law, DOI identified advancing a National EDRR Framework as a priority and took steps to invest in supporting some of the institutional components of such a framework. To that end, DOI is working with partners to identify, enhance, and collaborate on EDRR activities, build new tools, and support coordinated processes to proactively find and eradicate new invasive species before they establish, spread, and cause harm. Specifics include identifying high risk invasive species and invasion hotspots across the nation to inform early detection efforts, developing molecular tools to aid detection capabilities, expanding capacity for on-the-ground rapid response actions, including the establishment of a pilot Rapid Response Fund for aquatic invasive species, and creating an online clearinghouse where managers can share current information to guide implementation.The Rapid Response Fund addresses the need for readily available financial resources to assess and support response actions for quick containment or eradication of newly detected species. The Fund is a critical component of a National EDRR Framework and a priority need identified within the ANSTFâ€™s Strategic Plan for 2020-2025 (Objective 3.3, https://www.fws.gov/sites/default/files/documents/ANSTF-Strategic-Plan-2020-2025.pdf).Accordingly, the ANSTFâ€™s Rapid Response Fund Working Group developed â€œThe Model Process: Rapid Response Fund for Aquatic Invasive Speciesâ€ (https://www.fws.gov/media/model-process-rapid-response-fund-aquatic-invasive-species) in 2023 to outline a structure and process for a Rapid Response Fund for AIS. On July 19, 2023, the Model Process was unanimously approved by the 13 Federal agencies and 13 non-federal ex-officio members that serve on the ANSTF. This Notice of Funding Opportunity follows this process as detailed in the sections below. General information about the Fund and a list of Frequently Asked Questions can be found at: https://www.fws.gov/story/2023-08/rapid-response-fund-aquatic-invasive-species.In Fiscal Year 2023, BIL funds were directed to establish a pilot Rapid Response Fund for AIS within the existing authorities of the U.S. Fish and Wildlife Serviceâ€™s Fish and Aquatic Conservation program, to be coordinated though the ANSTF. Accordingly, the U.S. Fish and Wildlife Service, on behalf of the ANSTF, invites proposals to support the rapid response to a new species introduction within freshwater, estuarine, or marine waters of the United States, including the U.S. territories.For the purposes of this Federal Rapid Response Fund, â€œRapid Responseâ€ is defined as a process employed to eradicate the founding population of non-native, potentially invasive, species in a specific location before that species begins to reproduce or spreads so widely that eradication is no longer feasible. Eradication is defined as the removal or destruction of an entire population of an invasive species within a specified area. Eligibility requirements for this Rapid Response Fund are described in section C3 below, additional information on these requirements, as well as definitions, can be found in the ANSTF document â€œThe Model Process: Rapid Response Fund for Aquatic Invasive Speciesâ€ (https://www.fws.gov/media/model-process-rapid-response-fund-aquatic-invasive-species).</t>
  </si>
  <si>
    <t>U.S. Embassy Bangkok FY24 Notice of Funding Opportunity</t>
  </si>
  <si>
    <t>DOS-THA</t>
  </si>
  <si>
    <t>U.S. Mission to Thailand</t>
  </si>
  <si>
    <t>Others (see text field entitled "Additional Information on Eligibility" for clarification) 1) Registered not-for-profit organizations, including think tanks and civil society/non-governmental organizations; 2) Educational institutions; 3) Individuals; 4) Public international organizations and governmental institutions</t>
  </si>
  <si>
    <t>A. PROGRAM DESCRIPTION 
The U.S. Embassy Bangkok Public Diplomacy Section of the U.S. Department of State announces an open competition for organizations or individuals to submit a statement of interest (SOI) or concept note to carry out program(s) funded by the U.S. Embassy Bangkok. Please carefully follow all instructions below. 
The submission of the SOI is the first step in a two-step process. Applicants must first submit a concise statement of interest through the Google application form (https://forms.gle/3DSzBvf1u72UwuzY8). The SOI is designed for applicants to clearly communicate program ideas and objectives and is not a full proposal. The purpose of the SOI process is to allow applicants to submit program ideas for evaluation prior to requiring the development of a full proposal application. Upon a merit review of eligible SOIs, selected applicants will be invited to expand on their program ideas by submitting a full proposal application. Full proposals will go through a second merit review before final funding decisions are made.  
Priority Program Areas 
1. Democracy, Governance, and Human Rights 
 Activities that strengthen democratic values, accountability, public participation, transparency, and rule of law in governance and political institutions. 
 Innovative projects that educate Thais about the U.S. experience in meaningful participation in democratic processes and civic life. 
 Activities that promote universally recognized human rights and fundamental freedoms. 
 Activities that promote connection between the United States and the rising leaders in the Indo-Pacific region. 
 Activities that focus on enhancing critical thinking skills and promoting civic engagement to counter disinformation and improve media/digital literacy.  
2. Technology, Innovation, Entrepreneurship, and Renewable Energy 
 Activities that support and build capability for, and promote economic inclusivity among micro, small and medium enterprises (MSMEs) and underrepresented entrepreneurs. 
 Activities that build digital skills and improve business practices of MSMEs and underrepresented entrepreneurs for different stages of business development. 
 Activities that increase awareness of environmental protection, climate change, climate-smart agriculture, transboundary water challenges, renewable energy, and other key regional issues. 
 Activities that promote the use of science, technology, and innovation in tackling regional or transboundary challenges and strengthening competitiveness of SMEs and underrepresented entrepreneurs  
3. Education 
 Activities that build, increase, support, and strengthen partnerships and the exchange of people, ideas, and resources between U.S. and Thai education institutions. 
 Activities that increase access to education and understanding of science, technology, engineering, arts, and math (STEM/STEAM). 
 Innovative and educational activities that strengthen sustainable development in the Mekong subregion. 
B. FEDERAL AWARD INFORMATION 
This notice is subject to availability of funding. 
Funding Instrument Type: Grant, Fixed Amount Award (FAA), or Cooperative agreement. Cooperative agreements and some FAAs are different from grants in that U.S. Embassy staff are more actively involved in the grant implementation.  
Program Performance Period: Proposed programs should be completed within 12 months of issuance. U.S. Embassy Bangkok retains the right to execute non-competitive continuation amendments on a case-by-case basis. Any amendments are based on performance, pending availability of funds, and are not guaranteed. 
C. ELIGILIBITY INFORMATION 
1. Eligible Applicants 
The Public Diplomacy Section encourages applications from the United States and Thailand:  
 Registered not-for-profit organizations, including think tanks and civil society/non-governmental organizations  
 Educational institutions 
 Individuals 
 Public international organizations and governmental institutions 
2. Cost Sharing or Matching 
Cost sharing or matching is not required for this funding opportunity, but it is encouraged. Any cost sharing must be clearly laid out in the submission. 
3. Other Eligibility Requirements 
In order to be eligible to receive an award, all organizations must have a Unique Entity Identifier (UEI) number issued via www.SAM.gov as well as a valid registration on www.SAM.gov. Please see Section E.4 for more information. Individuals are not required to have a UEI or be registered in SAM.gov. 
D. APPLICATION AND SUBMISSION INFORMATION 
1. Content and Form of Application Submission  
Please follow all instructions below carefully. SOIs that do not meet the requirements of this announcement or fail to comply with the stated requirements will be ineligible and will not be considered for funding. 
All application materials must be ONLY submitted electronically through Google application form at https://forms.gle/3DSzBvf1u72UwuzY8. 
Content of SOI must include: 
 Project summary and description, objectives, expected outcomes, proposed timeline, target audience, and evaluation plan 
 All documents fully completed in English 
 The anticipated total budget amount (in U.S. dollars) and a line-item breakdown of expenses. 
2. Submission Timeline 
1st Round 
 Deadline to submit SOIs: February 7, 2024 
 Selected SOIs are notified by email: February 23, 2024 
 Deadline for selected applicants to submit full proposals: March 31, 2024 
2nd Round 
 Deadline to submit SOIs: May 1, 2024 
 Selected SOIs are notified by email: May 17, 2024 
 Deadline for selected applicants to submit full proposals: June 14, 2024 
3rd Round 
 Deadline to submit SOIs: July 3, 2024 
 Selected SOIs are notified by email: July 19, 2024 
 Deadline for selected applicants to submit full proposals: August 16, 2024 
ï»¿3. Funding Restrictions 
 Award funds cannot be used for alcoholic beverages. Award fund also cannot be used for other food items not directly related to achieving program objectives. 
E. APPLICATION REVIEW INFORMATION 
1. Criteria 
Each SOI will be evaluated and rated on the basis of the evaluation criteria outlined below:  
 Quality of Program Idea (50 points): All programs must include a substantive connection to American culture, policy, and/or practices. Program objectives are closely aligned with U.S. Embassy Bangkok priorities outlined in Section A. Project Description. The idea is communicated well and is feasible. SOIâ€™s that promote creative approaches to address program objectives are highly encouraged. The proposed timeline is reasonable.  
 Program Planning/Ability to Achieve Objectives (20 points): The SOI should clearly articulate proposed program activities and expected results towards achieving program objectives and goal(s). 
 Engagement of Target Audiences (20 points): The SOI should identify the target audience outlined in the program description. 
 Organizational Capacity and Record on Previous Grants (10 points): The SOI should demonstrate the organizationâ€™s expertise, capacity and/or previous experience in administering similar programs. If a local partner is identified, the SOI should briefly describe the partnerâ€™s role and experience.  
2. Review and Selection Process 
A Grants Review Committee will evaluate all eligible SOIs against the criteria listed above. For a fair review, all panelists will only review the information provided through the Google application form, no additional information will be reviewed. The panel may provide conditions and/or recommendations on SOIs to enhance the proposed program. Conditions must be addressed, and recommendations should be addressed, in the full proposal application. 
3. Following the review, any successful SOI applicants will be contacted and instructed to submit full applications. A full application will include: 
 Project proposal and budget narratives 
 SF-424 (Application for Federal Assistance - organizations) at https://apply07.grants.gov/apply/forms/sample/SF424_Mandatory_3_0-V3.0.pdf or SF-424-I (Application for Federal Assistance - individuals) at https://apply07.grants.gov/apply/forms/sample/SF424_Individual_2_0-V2.0.pdf  
 SF424A (Budget Information for Non-Construction programs) at https://apply07.grants.gov/apply/forms/sample/SF424A-V1.0.pdf  
 SF424B (Assurances for Non-Construction programs - organizations) at https://apply07.grants.gov/apply/forms/sample/Mandatory_SF424B-V1.1.pdf or SF-424B (Assurances for Non-Construction programs - individuals) at https://apply07.grants.gov/apply/forms/sample/Individual_SF424B-V1.1.pdf  
4. Required Registrations â€“ Unique Entity Identifier (UEI) on SAM.GOV 
All organizations, whether based in the United States or in another country, must have a Unique Entity Identifier (UEI) and an active registration with the SAM.gov. A UEI is one of the data elements mandated by Public Law 109-282, the Federal Funding Accountability and Transparency Act (FFATA), for all Federal awards. 
The 2 CFR 200 requires that sub-grantees obtain a UEI number. Please note the UEI for sub-grantees is not required at the time of application but will be required before an award is processed and/or directed to a sub-grantee.  
Note: The process of obtaining or renewing a SAM.gov registration may take anywhere from 4-8 weeks. Please begin your registration as early as possible. 
 Organizations based in the United States or that pay employees within the United States will need an Employer Identification Number (EIN) from the Internal Revenue Service (IRS), and a UEI number prior to registering in SAM.gov.  
 Organizations based outside of the United States and that do not pay employees within the United States do not need an EIN from the IRS but do need a UEI number prior to registering in SAM.gov. 
Exemptions 
An exemption from the UEI and sam.gov registration requirements may be permitted on a case-by-case basis if: 
 An applicantâ€™s identity must be protected due to potential endangerment of their mission, their organizationâ€™s status, their employees, or individuals being served by the applicant. 
 For an applicant, if the Federal awarding agency makes a determination that there are exigent circumstances that prohibit the applicant from receiving a unique entity identifier and completing SAM registration prior to receiving a federal award. In these instances, federal awarding agencies must require the recipient to obtain a unique entity identifier and complete SAM registration within 30 days of the federal award date. 
Organizations requesting exemption from UEI or SAM.gov requirements must email the point of contact listed in the NOFO at least two weeks prior to the deadline in the NOFO providing a justification of their request. Approval for a SAM.gov exemption must come from the warranted Grants Officer before the application can be deemed eligible for review. 
F. FEDERAL AWARD ADMINISTRATION INFORMATION 
Administrative and National Policy Requirements 
Terms and Conditions: Before submitting the SOI, applicants should review all the terms and conditions and required certifications which will apply if a full proposal application is requested and awarded, to ensure that they will be able to comply. These include: 2 CFR 200, 2 CFR 600, and the Department of State Standard Terms and Conditions which are available at: https://www.state.gov/about-us-office-of-the-procurement-executive/. 
G. FEDERAL AWARDING AGENCY CONTACTS 
If you have any questions about the application process, please contact BangkokPD@state.gov. 
NOTE: A follow-up solicitation (typically sent as or via an email by U.S. Embassy Bangkok) will be issued directly to those organizations or individuals who submitted successful SOIs. It is not reposted on Grant.gov or a public website. The follow-up solicitation must follow the full NOFO template, as well as provide any specific recommendations or conditions articulated by the review panel. No limited or sole source waiver is required specifically for the full proposal stage as any such waiver approved prior to SOI issuance covers the entire competition process. If the SOI step was a full and open competition, the overall process counts as a full and open competition.</t>
  </si>
  <si>
    <t>Strategies to Increase Hydropower Flexibility</t>
  </si>
  <si>
    <t>Unrestricted (i.e., open to any type of entity above), subject to any clarification in text field entitled "Additional Information on Eligibility" DOE/NNSA FFRDCs are eligible to apply for funding as a subrecipient but are not eligible to apply as a prime recipient._x000D_
_x000D_
Non-DOE/NNSA FFRDCs are eligible to participate as a subrecipient but are not eligible to apply as a prime recipient._x000D_
_x000D_
Federal agencies and instrumentalities (other than DOE) are eligible to participate as a subrecipient but are not eligible to apply as a prime recipient.</t>
  </si>
  <si>
    <t>Modification 0004: The purpose of this modification is to extend Full Application deadline from 5/3/24 to 5/17/24 and revise the Expected Submission deadline for Replies to Reviewer comments from 6/28/24 to 7/12/24._x000D_
_x000D_
_____________________________________________________________x000D_
_x000D_
Modification 0003: The purpose of this modification is to revise cost share requirements for federally recognized Indian Tribes under Topic Area 1._x000D_
_x000D_
_____________________________________________________________x000D_
_x000D_
Modification 0002: The purpose of this modification is to extend the Concept Paper deadline to February 9, 2024, and revise the deadlines for Full Applications and the Reply to Reviewer Comments._x000D_
_x000D_
_____________________________________________________________x000D_
_x000D_
Modification 0001: The purpose of this modification is to extend the Concept Paper deadline to February 1, 2024, and revise the deadlines for Full Applications and the Reply to Reviewer Comments._x000D_
_x000D_
_____________________________________________________________x000D_
_x000D_
_x000D_
This Funding Opportunity Announcement (FOA) is being issued by the U.S. Department of Energyâ€™s Office of Energy Efficiency and Renewable Energy (EERE) on behalf of the Water Power Technologies Office (WPTO)._x000D_
_x000D_
This FOA supports three complementary strategies for increasing the flexibility of hydropower: demonstrating hydropower hybrids, supporting innovative advanced hydropower equipment, and developing new operational strategies. WPTOâ€™s HydroWIRES Initiative seeks to understand, enable, and improve the contribution of hydropower, including pumped storage hydropower (PSH) to reliability, resilience, and integration in the rapidly evolving U.S. electricity system. Hydropowerâ€™s flexibility is central to enhancing all these contributions. Through the three Topic Areas identified below, this FOA will develop a suite of advancements that improve hydropower flexibility at multiple scales: improved components within the plant, improved hybridized capabilities at the plant interconnection, and improved operations across the fleet._x000D_
_x000D_
1. Hydropower Hybrids Demonstration_x000D_
2. Technologies to Increase Flexibility_x000D_
3. Operational Flexibility_x000D_
_x000D_
To view the entire FOA document, visit the EERE Exchange Website at https://eere-exchange.energy.gov</t>
  </si>
  <si>
    <t>U.S. Embassy Bratislava PAS Annual Program Statement</t>
  </si>
  <si>
    <t>Others (see text field entitled "Additional Information on Eligibility" for clarification) The Public Affairs Section encourages applications from U.S. and Slovakia (exceptionally, if justified, also from third countries with a clear link to the U.S. and/or Slovakia):_x000D_
_x000D_
 	Registered not-for-profit organizations, including think tanks and civil society/non-governmental organizations._x000D_
 	Individuals._x000D_
 	Non-profit or governmental educational or cultural institutions._x000D_
 	Governmental institutions</t>
  </si>
  <si>
    <t>The U.S. Embassy Bratislava Public Affairs Section (PAS)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 
Purpose of Small Grants Program: PAS Bratislava invites proposals for programs that strengthen societal and cultural ties between the U.S. and Slovakia through programming that highlights shared values and promotes bilateral cooperation. All programs should include an American cultural element, or connection with American expert/s, organization/s, or institution/s in a specific field that will promote increased understanding of U.S. policy and perspectives. Project proposals should have an intrinsic public diplomacy objective in support of the Priority Program Areas listed below. Projects with a particular emphasis on activities outside the capital of Bratislava will have a priority. 
Priority Program Areas:  
 Supporting Slovakiaâ€™s transatlantic orientation by addressing hybrid threats, including disinformation and cyber security. 
 Supporting Slovakiaâ€™s capacity to uphold rule of law anti-corruption efforts and increased transparency. 
 Strengthening independent media and journalism and helping to foster critical thinking. 
 Promoting economic prosperity, energy security, and entrepreneurship through partnership with the U.S., including innovative approaches to technology. 
 Contributing to Slovakiaâ€™s efforts to support human rights and foster a culture of tolerance and inclusion of minorities. 
 Encouraging womenâ€™s empowerment. 
 Promoting cross-cultural understanding and supporting highly specialized English language learning in Slovakia. 
Special Note 1: American Spaces Programing  
PAS Bratislava invites applicants to submit proposals for programs be located at American centers in Banska Bystrica, Kosice and Zilina (https://www.americanspaces.sk/).  
Preferred, but not exclusive, audiences are educators as well as students. The centers can assist in disseminating information and attracting audiences. The Embassy prefers sustainable longer-term programming over one-off events.  
Technical Equipment of the American Spaces:  
1. American Center Banska Bystrica, State Scientific Library, Lazovna 9  
Projector, screen, free WI-FI coverage, 17 laptops (HP, Intel Core i5, Windows 10, Libre Office), MakerBot Replicator+ 3-D printer, printing material â€“ PLA with various colors, 10 BBC Micro:bit sets, Evo Classroom Ozobot kit (12 bots), VR Headset Oculus Quest 2 
2. American Center Kosice, State Scientific Library, Hlavna 10 
 Projector, screen, WI-FI coverage, 17 laptops (HP, Intel Core i5, Windows 10, Open Office), Maker Bot Replicator 3-D printer, printing material, 10 BBC Micro:bit sets, Evo Classroom ozobot kit (11 bots), Lego Mindstorms Ev3, 3 core sets + 3 extension sets, 2 VR Headset Oculus Quest 2 
3. American Center Zilina, Regional Library in Zilina, A. Bernolaka 47 
 Projector, screen, WI-FI coverage, 12 laptops (ASUS, Intel Core i5, Windows 11, Open Office), Prusa 3-D printer, 15 BBC Micro:bit sets, 15 Micro:bit Cutebot, Evo Classroom ozobot kit (12 bots), 2 VR Headset Oculus Quest 2 
We recommend consulting the Embassy before submitting a grant application for an American Space Program via Bratislava_GrantsSlovakia@state.gov. 
Special Note 2: 
The Embassy will be celebrating several anniversaries in 2024, to include NATO 20 years, Fulbright Slovakia 30 years, and Slovak National Uprising (SNP) 80 years. We will be happy to welcome applications for related programs, and will give preference to those which are interactive and contain a clear and stated U.S. component.</t>
  </si>
  <si>
    <t>U.S. Embassy Sofia PDS Annual Program Statement</t>
  </si>
  <si>
    <t>DOS-BGR</t>
  </si>
  <si>
    <t>U.S. Mission to Bulgaria</t>
  </si>
  <si>
    <t>Others (see text field entitled "Additional Information on Eligibility" for clarification)  	Registered not-for-profit organizations, including think tanks and civil society/non-governmental organizations with programming experience  	Individuals  	Non-profit or governmental educational institutions  	Governmental institutions  	For-profit or commercial entities are NOT/NOT eligible to apply.</t>
  </si>
  <si>
    <t xml:space="preserve">PDS Sofia invites proposals for programs that bolster the people-to-people ties between the United States and Bulgaria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and promote shared values.  
Competitive proposals should focus on one or more of the following priority themes:
Â· Promote leadership skills, civic engagement, entrepreneurship, and innovation among secondary and university students. 
Â· Deepen the social, cultural, and educational connections between the United States and Bulgaria, especially through the development of active, sustainable alumni networks. 
Â· Boost public understanding of and support for Bulgariaâ€™s role as a strong NATO Ally as it celebrates its 20th year in the Alliance.
Â· Develop youth skills in Science, Technology, Engineering, the Arts, and Mathematics (STEAM), especially focused on assisting youth from underserved, vulnerable, or rural communities (outside major metropolitan areas).
Â· Strengthen the development of robust independent media and civil society organizations to bolster civic participation and improve societal trust in democratic institutions.
Â· Increase media and digital literacy and improve Bulgarian societyâ€™s resilience to disinformation.
Â· Advance the inclusion and integration of historically underserved and vulnerable communities, including women, Roma and other minority groups, LGBTQI+ individuals, Ukrainian refugees, other migrants, and disadvantaged youth.
Â· Increase interconnectivity between Bulgaria and other countries in the region, including joint projects that foster cooperation between the citizens of Bulgaria and North Macedonia.
Â· Promote dialogue and civic participation in programs that confront climate change and that advance environmental sustainability and energy diversification. </t>
  </si>
  <si>
    <t>U.S. Embassy Prague PAS Annual Program Statement</t>
  </si>
  <si>
    <t>Others (see text field entitled "Additional Information on Eligibility" for clarification)  	Not-for-profit organizations, including think tanks and civil society/non-governmental organizations (NGOs) with a connection to the Czech Republic 	Public and non-profit educational institutions with a connection to the Czech Republic 	Czech governmental institutions and international organizations 	Individuals with a connection to the Czech Republic</t>
  </si>
  <si>
    <t>The U.S. Embassy Prague Public Affairs Section (PAS) of the U.S. Department of State is pleased to announce available funding for projects advancing key strategic goals through its Public Diplomacy Small Grants Program. This is an Annual Program Statement, outlining our funding priorities and the procedures for submitting requests for funding. Please carefully follow all instructions below. This notice is subject to availability of funding. 
Purpose of Small Grants: The U.S. Embassy Prague Public Diplomacy Section is interested in funding projects that strengthen social, political and cultural ties between the United States and Czech Republic and support our Priority Program Areas. Projects should specifically target Czech audiences living within the Czech Republic. All programs must: 
Â· include an American cultural or policy element, OR 
Â· involve a connection with American expert/s, performers, organization/s, or institution/s relevant to the grant project, OR 
Â· promote increased understanding of U.S. policy and perspectives. 
Examples of successful PAS Small Grants Program programs include, but are not limited to:  
Â· Academic or professional lectures, seminars, workshops, discussions and speaker programs by U.S. experts and/or about the United States.  
Â· Community or civic engagement projects promoting shared U.S.-Czech values. 
Â· Artistic and cultural workshops, joint performances, masterclasses by U.S. artists and exhibitions of U.S. works.  
Â· Professional and academic exchanges and programs to the United States. 
Project proposals must also support at least one Priority Program Area.  
Priority Program Areas:  
I. U.S.-CZECH BILATERAL RELATIONSHIP 
Programs that seek to explain U.S. policies, culture, and values to Czech audiences, resulting in a positive impact on the bilateral relationship. 
II. ECONOMIC PROSPERITY, TRADE AND ENTREPRENEURSHIP  
Programs that promote and support entrepreneurship, innovation, and/or bilateral trade between the U.S and the Czech Republic. 
III. ENVIRONMENTAL PROTECTION AND STEM EDUCATION 
Programs related to climate change, environmental protection, scientific cooperation and STEM (science, technology, engineering and mathematics) education, including programs that promote critical thinking skills. 
IV. HUMAN RIGHTS, DEMOCRATIC VALUES AND CIVIL SOCIETY 
Programs that promote human rights, support marginalized groups, encourage gender equality and empowerment of women, and that foster a culture of integration and diversity. Programs that strengthen democratic values of transparency, government accountability, anti-corruption and the rule of law. Programs that encourage strong civic engagement and democratic participation by all sectors of society and that support the development of a thriving civil-society and non-governmental sector. 
V. INDEPENDENT MEDIA AND COMBATTING DISINFORMATION 
Programs that strengthen an independent media, investigative journalism or media literacy among the public, such as programs that counter disinformation or train audiences to recognize disinformation or misinformation online and in news. 
VI. REGIONAL SECURITY, CYBER SECURITY AND/OR ENERGY SECURITY 
Programs that promote energy security, cyber security, and/or our NATO security alliance.  
The following types of programs are not eligible for funding:  
Â· Programs relating to partisan political activity 
Â· Humanitarian aid 
Â· Construction programs 
Â· Fund-raising campaigns 
Â· Scientific research 
Â· Programs that donâ€™t support an Embassy Priority Program Area or that donâ€™t involve an American component 
Â· Projects intended primarily for the growth or institutional development of the organization 
Â· Projects seeking funds for personal use 
Participants and Audiences:  
We seek geographically and demographically diverse audiences within the Czech Republic and prioritize proposals with a significant programming component outside of Prague. Programs should target adults or teenage audiences primarily (high school and older). 
Deadlines: 
All applications must be submitted electronically to grantsprague@state.gov. There will be three deadlines for grant submission in FY2024 and three review meetings to make funding decisions.  Applications can be submitted any time prior to one of these deadlines:  
Â· January 15, 2024  
Â· March 19, 2024 
Â· May 14, 2024 
 Applications received after the final deadline of May 14, 2024 will not be considered.  
Grant applications will be evaluated within two weeks after these deadlines, and if yours is selected for funding, you will be asked to submit further paperwork.  
Please note that we can only fund future programs. Please apply as early as possible and at least three months prior to the start of the project. 
The Grant Application form is available on the U.S. Embassy Prague Web site: https://cz.usembassy.gov/education-culture/small-grants-program/ 
Criteria 
Each proposal selected for funding will be evaluated according to the criteria outlined below. 
Quality and Feasibility of the Program Idea: The program idea supports at least one of the Embassyâ€™s Priority Program Areas. (Projects that do not strongly support a Priority Area will not be considered further.) Programs are well developed, detailing how program activities will be carried out. The proposal includes a reasonable implementation timeline. The organization has expertise in its stated field and has the internal controls in place to manage federal funds - this includes a financial management system and a bank account. 
Inclusion of American Component: The program includes a strong American component, such as addressing an American policy, subject matter or an aspect of American culture; or involving an American speaker, artist, performer, organization or author; or involves an exchange with the United States. 
Program Planning/Ability to Achieve Objectives: Goals and objectives are clearly stated and program approach is likely to provide maximum impact in achieving the proposed results with the target audience(s) and includes public outreach components/activities. 
Monitoring   Evaluation Plan and Sustainability: Applicant demonstrates ability to measure program success against key indicators and provides milestones to indicate progress toward goals outlined in the proposal. The program includes output and outcome indicators and shows how and when those will be measured. Program activities will continue to have positive impact after the end of the program. 
Budget: The budget justification is detailed. Costs are reasonable in relation to the proposed activities and anticipated results. The budget is realistic, accounting for all necessary expenses to achieve proposed activities. 
Review and Selection Process 
A grant review committee comprised of U.S. Embassy Prague staff and partners will evaluate all applications submitted within two weeks of one of the three deadlines in this announcement. Applications that do not comply with the requirements of this announcement will be ineligible for further consideration.  
When deciding which projects to support, the Embassy will consider the full range and diversity of Czech organizations and will seek to target geographically and demographically diverse audiences in the Czech Republic. Proposals must be linked to U.S. Embassy Priority Program Areas and incorporate an American component, such as an American subject matter, speaker, artist, performer, author, exchange, etc. 
Selection committee results will be announced in a timely manner following the review committee decisions. Applicants will be notified if their proposal has been approved for immediate funding, or in some cases proposals may be approved provisionally pending future availability of funding. Organizations or individuals whose grant applications will not be funded will also be notified via email.  
Issuance of this Notice of Funding Opportunity does not constitute an award commitment on the part of the U.S. government, nor does it commit the U.S. government to pay for costs incurred in the preparation and submission of proposals. Further, the U.S. government reserves the right to reject any or all proposals received. 
Payment Method: Payments will be made in at least two installments, as needed to carry out the program activities (generally 80% advance; 20% reimbursement) but may also be based on achieving project milestones.  
Reporting Requirements 
As a condition of Embassy funding, the U.S. Embassy Grants Officer (GO), or a Grants Officer Representative (GOR) will propose an appropriate grant monitoring plan to observe the funded activity, event, or project contemplated in the proposal. Recipients will be required to submit financial reports and program reports. The award document will specify how often these reports must be submitted.  
Failure to comply with the reporting requirements may jeopardize eligibility for future awards or will result in suspension of any future payments under this award until such time as this deficiency has been corrected.</t>
  </si>
  <si>
    <t>Multi-sectoral preventive interventions that address social determinants of health in populations that experience health disparities (UG3/UH3, Clinical Trial Required)</t>
  </si>
  <si>
    <t>Public housing authorities/Indian housing authorities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</si>
  <si>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The purpose of this NOFO is to support projects to test prospective multi-sectoral preventive interventions that address social determinants of health in populations that experience health disparities. These research projects will be part of the Multi-Sectoral Preventive Interventions (MSPI) Research Network, which will also include a Coordinating Center (NOFO xxx). Funded under a cooperative agreement, projects participating in the MSPI Research Network will collaborate to share approaches, methods, and data, working closely with NIH Institutes, Offices and Centers. Applicants applying to this NOFO are encouraged to review the Coordinating Center NOFO to fully understand the MSPI Research Network structure and activities.
This NOFO solicits bi-phasic research projects proposed in UG3/UH3 Phased Innovation Awards Cooperative Agreement applications. Funding for the UG3 phase (phase I) will be used to demonstrate sufficient preparation, feasibility and capacity to meet foundational milestone targets specific to the work proposed. A UG3 project that meets its milestones will be administratively considered by NIH and prioritized for transition to the UH3 award (phase II). Applicants responding to this NOFO must address specific aims and milestones for both the UG3 and UH3 phases.</t>
  </si>
  <si>
    <t>Coordinating Center to Support Multi-Sectoral Preventive Interventions that Address Social Determinants of Health in Populations that Experience Health Disparities (U24, Clinical Trial Not Allowed)</t>
  </si>
  <si>
    <t>Special district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</si>
  <si>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The purpose of this NOFO is to seek applications for a Coordinating Center (CC) for the Multi-Sectoral Preventive Interventions (MSPI) Research Network.  Members of the Multi-Sectoral Preventive Interventions (MSPI) Research Network, including the CC and separately funded research projects, will work collaboratively with the NIH to test prospective multi-sectoral preventive interventions that address social determinants of health in populations that experience health disparities. The MSPI Research Network will include the CC funded under this Cooperative Agreement and up to 10 Research Projects funded under the companion UG3/UH3 Phased Cooperative Agreement NOFO, Multi-sectoral preventive interventions that address social determinants of health in populations that experience health disparities. 
The CC will provide overarching support and guidance to the network in three domains: (1) administration, coordination, and communication; (2) methodology, data, and analytic support and consultation; and (3) community and other collaborator engagement and dissemination support. It is important that applicants for the CC also read the companion NOFO to understand the full mission and structure of the research network.</t>
  </si>
  <si>
    <t>Ukraine Cultural Heritage Response Initiative - Resilience Building Component</t>
  </si>
  <si>
    <t>Others (see text field entitled "Additional Information on Eligibility" for clarification) Foreign Institution of Higher Education Foreign-based non-profit organizations/nongovernment organizations (NGO) Foreign Public Entity U.S. Non-Profit Organization (IRC section 501(c)(3)) U.S. Institution of Higher Education</t>
  </si>
  <si>
    <t>The Ukraine Cultural Heritage Response Initiative - Resilience Building Component (UCHRI-RBC) supports exchanges and other activities that build or strengthen the capacity of Ukraine to protect and preserve its culture and identity. Note: To apply for this funding opportunity, follow the instructions in the Application Instructions document under the Related Documents tab. Applicants must apply by email to ukraineheritres@state.gov. Applicants CANNOT submit applications via Grants.gov.</t>
  </si>
  <si>
    <t>WaterSMART Small-Scale Water Efficiency Projects For Fiscal Year 2024 and Fiscal Year 2025</t>
  </si>
  <si>
    <t>County governments Category A Applicants: States, Tribes, irrigation districts, and water districts; State, regional, or local authorities, the members of which include one or more organizations with water or power delivery authority; and Other organizations with water or power delivery authority. All applicants must be located in the Western United States or Territories as identified in the Reclamation Act of June 17, 1902, as amended and supplemented; specifically: Alaska, Arizona, California, Colorado, Hawaii, Idaho, Kansas, Montana, Nebraska, Nevada, New Mexico, North Dakota, Oklahoma, Oregon, South Dakota, Texas, Utah, Washington, Wyoming, American Samoa, Guam, the Northern Mariana Islands, the U.S. Virgin Islands and Puerto Rico. Category B Applicants: Nonprofit conservation organizations that are acting in partnership with, and with the agreement of an entity described in Category A, with respect to a project involving land or infrastructure owned by the Category A entity. All Category B applicants must be located in the United States, or the specific Territories identified above. Category B applicants should include with their application a letter from the Category A partner stating that the Category A partner: Is acting in partnership with the applicant; Agrees to the submittal and content of the application; and Intends to participate in the project in some way, for example, by providing input, feedback, or other support for the project.</t>
  </si>
  <si>
    <t>The U.S. Department of the Interiorâ€™s (Department) WaterSMART (Sustain and Manage Americaâ€™s Resources for Tomorrow) Program provides a framework for Federal leadership and assistance to stretch and secure water supplies for future generations in support of the Departmentâ€™s priorities. Through WaterSMART, the Bureau of Reclamation (Reclamation) leverages Federal and non-Federal funding to work cooperatively with States, Tribes, and local entities as they plan for and implement actions to increase water supply sustainability through investments in existing infrastructure and attention to local water conflicts. WaterSMART provides support for priorities identified in Presidential Executive Order 14008: Tackling the Climate Crisis at Home and Abroad (E.O. 14008) and aligned with other priorities, such as those identified in Presidential Executive Order 13985: Advancing Racial Equity and Support for Underserved Communities Through the Federal Government (E.O. 13985). The WaterSMART Small-Scale Water Efficiency Projects also support the goals of the Interagency Drought Relief Working Group established in March 2021 and the National Drought Resiliency Partnership. These grants will advance the Biden-Harris Administrationâ€™s Justice40 Initiative. Established by E.O. 14008, the Justice40 Initiative has it made it a goal that 40 percent of the overall benefits of certain federal investments flow to disadvantaged communities. Federal agencies are using the Climate and Economic Justice Screening Tool to help identify disadvantaged communities. The objective of this NOFO is to invite States, Indian Tribes, irrigation districts, water districts, and other organizations with water or power delivery authority to leverage their money and resources by cost sharing with Reclamation on small-scale on-the-ground projects that seek to conserve, better manage, or otherwise make more efficient use of water supplies. Proposed projects that are supported by an existing water management and conservation plan, System Optimization Review, or other planning effort led by the applicant are prioritized. This prioritization will help ensure that projects funded under this NOFO are well thought out, have public support, and have been identified as the best way to address water management concerns. Reclamation has simplified the evaluation criteria and streamlined the application process for this category of WaterSMART Grants to ensure that the process works for smaller entities. Simplified evaluation criteria are intended to provide each applicant with an opportunity to succinctly explain how the proposed project would meet a defined need identified through a prior planning effort.</t>
  </si>
  <si>
    <t>Joint Center of Excellence for Advanced Materials Research</t>
  </si>
  <si>
    <t>DOT-FAA-FAA COE-FAA JAMS</t>
  </si>
  <si>
    <t>FAA-COE-JAMS</t>
  </si>
  <si>
    <t>Others (see text field entitled "Additional Information on Eligibility" for clarification) Member universities of the COE can apply.</t>
  </si>
  <si>
    <t xml:space="preserve">The Joint Center of Excellence (COE) for Advanced Materials (JAMS) was established in January 2004 to assist in ensuring the safe and reliable application of comÂ­posites and advanced materials to commercial aircraft. The Center is a joint effort of the Center of ExcelÂ­lence for Composite and Advanced Materials (CECAM) led by WichÂ­ita State University and the Center of Excellence for Advanced MateÂ­rials in Transport Aircraft StrucÂ­tures (AMTAS) led by the UniverÂ­sity of Washington. The COE is a leader in international coordinaÂ­tion of research, development, and standardization for structures conÂ­structed from these new materials.The goal of this joint cenÂ­ter is to create a cost-sharing academic, inÂ­dustrial, and governmental partÂ­nership. The members are forging a union between the public sector, the private sector and academic inÂ­stitutions to create a world-class capability to identify solutions for existing and potential advanced materials and structures issues.The focus of this partnership is the research, engineering and deÂ­velopment of information used to assure safety and standardize cerÂ­tification of existing and emergÂ­ing structural applications of comÂ­posites and advanced materials. Specifically, projects include the evaluation of past applications, performance of applied research and the development of standard engineering practices. This Joint Center of Excellence, working with industry and government, also plays an important role in technology transfer, training, and continuing education for the aircraft industry and regulators.Research Areas:Damage Tolerance of Advanced Composite StructuresDurability of Adhesively Bonded Joints (Composite and Hybrid)Metal   Non-Metal Based Additive Manufacturing TechnologiesCrashworthiness of Composite Airframes and Seating SystemsEnvironmental and Aging Effects on In- Service Composite StructuresLightning Strikes on Composite AirframesNew material systems and innovative production technologiesMaintenance and Inspection of Composite Structures </t>
  </si>
  <si>
    <t>Short Courses in Social Determinants of Health for Research Education in Nursing Research (R25 Independent Clinical Trial Not Allowed)</t>
  </si>
  <si>
    <t>Native American tribal organizations (other than Federally recognized tribal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Organizations) are not eligible to apply
Non-domestic (non-U.S.) components of U.S. Organizations are not eligible to apply.
Foreign components, as defined in the NIH Grants Policy Statement, are allowed.</t>
  </si>
  <si>
    <t>The NIH Research Education Program (R25) supports research education activities in the mission areas of the NIH.  The overarching goal of this R25 program is to support educational activities that complement and/or enhance the training of a workforce to meet the nations biomedical, behavioral and clinical research needs. To accomplish the stated over-arching goal, this FOA will support creative educational activities with a primary focus on: (1) Courses for Skills Development; and (2) Develop and implement a program to prepare nurse scientists, and scientists in aligned fields, to conduct research on the social determinants of health in alignment with the NINR Strategic Plan.</t>
  </si>
  <si>
    <t>Secure and Trustworthy Cyberspace</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</si>
  <si>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As of the date the proposal is submitted, any PI, co-PI, or other senior project personnel must hold either:
_x000D_
  a tenured or tenure-track position, or
_x000D_
  a primary, full-time, paid appointment in a research or teaching position
_x000D_
at a US-based campus of an organization eligible to submit to this solicitation (see above), with exceptions granted for family or medical leave, as determined by the submitting organization. Individuals with primary appointments at for-profit non-academic organizations or at overseas branch campuses of U.S. institutions of higher education are not eligible.
_x000D_
Proposals from Minority Serving Institutions (MSIs) are particularly encouraged.</t>
  </si>
  <si>
    <t>In today's increasingly networked, distributed, and asynchronous world, cybersecurity involves hardware, software, networks, data, people, and integration with the physical world. Society's overwhelming reliance on this complex cyberspace, however, has exposed its fragility and vulnerabilities that defy existing cyber-defense measures; corporations, agencies, national infrastructure, and individuals continue to suffer cyber-attacks. Achieving a truly secure cyberspace requires addressing both challenging scientific and engineering problems involving many components of a system, and vulnerabilities that stem from human behaviors and choices. Examining the fundamentals of security and privacy as a multidisciplinary subject can lead to fundamentally new ways to design, build, and operate cyber systems; protect existing infrastructure; and motivate and educate individuals about cybersecurity.
_x000D_
The goals of the SaTC program are aligned with the National Science and Technology Council's (NSTC) Federal Cybersecurity Research and Development Strategic Plan (RDSP) and National Privacy Research Strategy (NPRS) to protect and preserve the growing social and economic benefits of cyber systems while ensuring security and privacy. The RDSP identified six areas critical to successful cybersecurity research and development: (1) scientific foundations; (2) risk management; (3) human aspects; (4) transitioning successful research into practice; (5) workforce development; and (6) enhancing the research infrastructure. The NPRS, which complements the RDSP, identifies a framework for privacy research, anchored in characterizing privacy expectations, understanding privacy violations, engineering privacy-protecting systems, and recovering from privacy violations. In alignment with the objectives in both strategic plans, the SaTC program takes an multidisciplinary, comprehensive, and holistic approach to cybersecurity research, development, and education, and encourages the transition of promising research ideas into practice. SaTC goals are also aligned with the Roadmap for Researchers on Priorities Related to Information Integrity Research and Development, the National Strategy to Advance Privacy-Preserving Data Sharing and Analytics, and the National Cyber Workforce and Education Strategy.
_x000D_
The SaTC program welcomes proposals that address cybersecurity and privacy, drawing on expertise in one or more of these areas: computing, communication, and information sciences; engineering; education; mathematics; statistics; and social, behavioral, and economic sciences. Proposals that advance the field of cybersecurity and privacy within a single discipline or interdisciplinary efforts that span multiple disciplines are both welcome.
_x000D_
The SaTC program spans the interests of NSF's Directorates for Computer and Information Science and Engineering (CISE), Engineering (ENG), Mathematical and Physical Sciences (MPS), Social, Behavioral and Economic Sciences (SBE), and STEM Education (EDU). Proposals must be submitted pursuant to one of the following designations, each of which may have additional restrictions and administrative obligations as specified in this program solicitation.
_x000D_
  CORE: This designation is the main focus of the multidisciplinary SaTC research program.
_x000D_
  EDU: The Education (EDU) designation is used to label proposals focusing on cybersecurity and privacy education and training.
_x000D_
  TTP: The Transition to Practice (TTP) designation will be used to label proposals that are focused exclusively on transitioning existing research results to practice.
_x000D_
CORE and TTP proposals may be submitted in one of the following project size classes:
_x000D_
  Small projects: up to $600,000 in total budget, with durations of up to three years; and
_x000D_
  Medium projects: $600,001 to $1,200,000 in total budget, with durations of up to four years.
_x000D_
EDU proposals are limited to $400,000 in total budget, with durations of up to three years. EDU proposals that demonstrate a collaboration, reflected in the PI, co-PI, and/or Senior Personnel composition, between a cybersecurity subject matter expert (researcher or practitioner) and an education researcher may request up to $500,000 for three years.</t>
  </si>
  <si>
    <t xml:space="preserve">This is a test. Please DO NOT submit.      </t>
  </si>
  <si>
    <t>IVV</t>
  </si>
  <si>
    <t>IV&amp;V Test Agency</t>
  </si>
  <si>
    <t xml:space="preserve">Others (see text field entitled "Additional Information on Eligibility" for clarification)      </t>
  </si>
  <si>
    <t>This is a test. Please disregard this.Î± âˆ¨ Î²</t>
  </si>
  <si>
    <t>State Small Business Credit Initiative (SSBCI) Investing in America Small Business Opportunity Program (SSBCI Investing in America SBOP)</t>
  </si>
  <si>
    <t>USDOT-ORP</t>
  </si>
  <si>
    <t xml:space="preserve">Office of Capital Access </t>
  </si>
  <si>
    <t>Others (see text field entitled "Additional Information on Eligibility" for clarification) Any state, territory, the District of Columbia, or Tribal government (each a  ) that has been approved as a participating jurisdiction in the SSBCI Capital Program is eligible to apply. Jurisdictions that are not yet approved as participating jurisdictions in the SSBCI Capital Program, but that have submitted complete and timely SSBCI Capital Program applications (or are part of a joint Tribal government application), are also eligible to apply; however, to receive an SSBCI Investing in America SBOP award, a jurisdiction must be approved as a participating jurisdiction in the SSBCI Capital Program.  Groups of Tribal governments may apply jointly (i.e., in consortia). For additional requirements applicable to joint Tribal applications, please see TA Grant Program FAQ #3  Can a Tribal affiliated entity or non-Tribal entity apply for a TA grant, sign a TA Grant Agreement, and implement the grant on behalf of a group of Tribal governments  under Section III. Eligible Recipients, Beneficiaries, and TA Providers at https://home.treasury.gov/system/files/136/SSBCI-FAQs.pdf, which will apply to applications and grants under this NOFO. States, territories, and the District of Columbia may not apply jointly, but an application from these applicants or from Tribal governments will receive more points if the TA program is designed to serve eligible small businesses on a regional basis as described in the NOFO.</t>
  </si>
  <si>
    <t>The U.S. Department of the Treasury (Treasury) is pleased to announce that it is seeking applications from eligible applicants for grant funding under the new SSBCI Investing in America SBOP that propose innovative and high-impact models for delivering technical assistance (TA) in the areas of legal, accounting, and financial advisory services to very small businesses (VSBs) and businesses owned and controlled by socially and economically disadvantaged individuals (SEDIâ€‘owned businesses).The SSBCI Investing in America SBOP is related to and supports the SSBCI Capital Program and the allocation formula-based SSBCI TA Grant Program. The SSBCI Capital Program is a federal program administered by Treasury that provides funding to states, the District of Columbia, territories, and Tribal governments to expand access to capital for small businesses emerging from the pandemic, build ecosystems of opportunity and entrepreneurship, and create high-quality jobs. The formula SSBCI TA Grant Program is also a federal program administered by Treasury that funds the provision of TA services in the areas of legal, accounting, and financial advisory services to eligible small businesses applying for SSBCI funding and other government small business programs.All awards are subject to the availability of appropriated funds and any modifications or additional requirements that may be imposed under applicable law.</t>
  </si>
  <si>
    <t>Cognitive Neuroscience</t>
  </si>
  <si>
    <t>The Cognitive Neuroscience (CogNeuro) Program seeks to fund proposals that can advance our understanding of the neural mechanisms underlying human cognition and behavior. Funded proposals typically advance theories in cognitive neuroscience by relating precise and rich quantifications of physiology, cognition and behavior with each other (Intellectual Merit). Funded proposals also typically strengthen the field through, for example, outreach, mentoring the next generation of diverse cognitive neuroscientists and/or increasing awareness and utilization of the research the field produces (Broader Impacts).
_x000D_
Intellectual MeritIn general, successful proposals provide a theoretical motivation for a series of experiments and analyses that test the differential predictions of that theory; they go beyond quantifying physiology associated with cognition and behavior. Research topics considered for funding include but are not limited to: action, perception, imagery, recognition, categorization, learning and memory, working memory, attention, language, problem solving, decision-making and social reasoning. Commensurate with the inherently multidisciplinary nature of the field and the limitations of any single technique, a wide variety of physiological methods are considered, including but not limited to: neuroimaging (e.g., fMRI, EEG, MEG), non-invasive stimulation (e.g. TMS, tES), lesion analysis, intracranial recording, optogenetics, genetics, optical imaging, computational modeling and pharmacological interventions in both human and non-human primates and other animal models. The program is particularly interested in proposals that achieve or enable convergence across multiple techniques.
_x000D_
Critically, proposals will be returned without review if they are focused on: (1) either behavior or physiology and lack a specific link between them, (2) understanding clinical populations or 3) non-human animals without a clear benefit to our understanding of humans.
_x000D_
Broader ImpactsIn general, successful proposals seek to make impacts beyond traditional academic routes, such as having the PIs publish research or teach undergraduate courses. Strong broader impacts can be quite varied but will typically involve specific efforts strengthening the field and/or increasing its visibility by leveraging the characteristics of the institution, department and/or researcher. Consider the following non-exhaustive examples:
_x000D_
_x000D_
STEM education and outreach, particularly in underserved communities._x000D_
Directly involving undergraduates and high-school students in research._x000D_
Making tools and applications available, discoverable, and easily useable by, the general public._x000D_
Science journalism or communication._x000D_
_x000D_
These efforts often relate to the proposed research, but suitable broader impacts with less direct connections to the specific research may also be proposed. PIs are encouraged to include these efforts in their proposal budgets if warranted. Refer to the Dear Colleague Letter: A Broader Impacts Framework for Proposals Submitted to NSF's Social, Behavioral, and Economic Sciences Directorate for more information.
_x000D_
Post-Doc Mentoring PlansStrong mentoring plans generally go beyond inclusion in standard lab activities and incorporate specific ideas for forwarding the careers of young scientists and trainees that leverage the setting and content of the proposed research.
_x000D_
General DirectionsPrior to the development of a full proposal, investigators are strongly encouraged to submit a one-page summary of the proposed research to a program director to evaluate its appropriateness for the CogNeuro Program. Please contact the program director early enough to allow for revisions and incorporation of what may be extensive feedback. The summary should include an overview of your research and statements of intellectual merit and broader impacts, the two NSF review criteria.
_x000D_
See the Merit Review Fact Sheet for more important facts about the NSF merit review process. Please read the NSF Proposal   Award Policies   Procedures Guide (PAPPG) carefully, as it will be strictly followed .
_x000D_
Currently, the average standard/CAREER award size is about $225K/175K per year for 3 to 5 years. Awards in excess of 1M are exceptionally rare and almost always multidisciplinary. Please be judicious in your requests, understanding the realities of the limited funding available for all proposals. See the listing of active Cognitive Neuroscience awards for additional award information.
_x000D_
Declined proposals are ineligible for resubmission until a minimum of one year has passed since the due date of their initial submission, unless specifically allowed by the Program Director in the feedback received during the decline process. This moratorium allows investigators the time required to digest the results of the merit review and revise their proposal accordingly. A proposal that has not been substantially revised will be returned without review as per the PAPPG.
_x000D_
PIs are strongly encouraged to submit the Single Copy Document titled  List of Suggested Reviewers  with their full proposal. Sharing of data and other materials is an expectation for funded research. Please consult the NSF Dear Colleague Letter: Effective Practices for Data for more details.
_x000D_
Interested in talking with a Program Director? Send a one-page description of the proposed research to sbe-cogneuro@nsf.govor submit a concept outline using the Program Suitability and Proposal Concept Tool (ProSPCT).</t>
  </si>
  <si>
    <t xml:space="preserve"> U.S. Embassy in Finland Public Diplomacy Annual Program Statement</t>
  </si>
  <si>
    <t>DOS-FIN</t>
  </si>
  <si>
    <t>U.S. Mission to Finland</t>
  </si>
  <si>
    <t xml:space="preserve">Native American tribal organizations (other than Federally recognized tribal governments) </t>
  </si>
  <si>
    <t xml:space="preserve">
Description: The Public Diplomacy Section (PDS) of the U.S. Embassy in Finland, U.S. Department of State is pleased to announce that funding is available through its Public Diplomacy Grants Program. This is an Annual Program Statement, outlining our funding priorities, the strategic themes we focus on, and the procedures for submitting requests for funding. Please carefully follow all instructions below. 
â€¯PDS Finland invites proposals for programs that promote bilateral cooperation and highlight shared values. All programs must include an American perspective, societal or cultural element, or connection with American expert/s, organization/s, or institution/s in a specific field that will promote increased understanding of U.S. policy and viewpoints. A confirmed local Finnish organization (or partnering organization) must be identified in the grant application. Additionally, programs must include a public outreach component(s), such as livestreaming, masterclasses, traditional media, digital outreach, or events open to audiences. 
Examples of PDS Grants Program projects include, but are not limited to: 
 Artistic and cultural workshops, joint performances, and exhibitions; 
 Academic and professional lectures, and seminars; 
 Professional and academic exchanges and programs 
Priority Program Areas: 
 Proposals that relate to the Arctic and increasing cooperation between Arctic states and communities; 
 Addressing climate change and changing environmental conditions; 
 Proposals that advance diversity, equity, inclusion, and accessibility (DEIA); 
 Proposals that address global security challenges and increasing understanding of NATO, including programs in support of Women, Peace, and Security (WPS) initiatives; 
 Proposals that increase collaboration and exchange between American and Finnish students and teachers; 
 Proposals that promote economic prosperity, entrepreneurship, and innovation; 
 Proposals that counter disinformation 
â€¯The following types ofâ€¯programs are not eligible for funding: 
 Programs relating to partisan political activities; 
 Charitable or development activities; 
 Construction programs; 
 Fund-raising campaigns; 
 Lobbying for specific legislation; 
 Programs intended primarily for the growth or institutional development of the organization; 
 Programs intended for an individualâ€™s personal enrichment or career development; 
 Programs that do not include an organization based in Finland; 
 Grants to for-profit entities 
</t>
  </si>
  <si>
    <t>Research Infrastructure in the Social and Behavioral Sciences</t>
  </si>
  <si>
    <t>The Research Infrastructure in the Social and Behavioral Sciences Program (RISBS) supports projects that create computational tools and data to facilitate basic research in the social and behavioral sciences that can lead to improved health, prosperity and security.
_x000D_
Projects should be aimed at creating computational tools and data to enable research by social scientists. Examples include, but are not limited to, data collection or assembly efforts that result in new resources for a community of researchers or software platforms that facilitate data collection efforts by others. RISBS does not support research by PIs except in service of creation of the infrastructure. Innovation is especially encouraged.
_x000D_
RISBS directly supports three key longitudinal surveys and panel studies that provide researchers with data on how American society functions and changes over time (and in 2010 were recognized as among the 60 most significant "discoveries or advances that... have had a large impact or influence on every American s life... call[ed] the  Sensational 60 , in honor of NSF s 60th anniversary ):
_x000D_
_x000D_
The American National Election Study, which started in 1948 and has been funded by NSF since 1977, provides  gold standard  data on voting, public opinion, and political participation in U.S. national elections._x000D_
The General Social Survey, a nationally representative interview survey of the U.S. adult population, collects data on a wide range of topics and has been funded by NSF since its inception in 1972._x000D_
The Panel Study of Income Dynamics, a longitudinal survey of a nationally representative sample of U.S. families begun in 1968 (with NSF taking over most of its funding in 1980) collects data on a wide array of economic, social and health factors._x000D_
_x000D_
The RISBS program administers separate solicitations for the American National Election Study (ANES), the General Social Survey (GSS) and the Panel Study of Income Dynamics (PSID). These solicitations have specific requirements and submission deadlines. Other infrastructure proposals may be submitted directly to the RISBS program at any time or transferred from other SBE programs following the respective program s submission guidelines. RISBS also collaborates with other programs in the social and behavioral sciences through a co-funding process to support projects that create especially valuable tools for researchers in those fields or are furthering innovations in research infrastructure.
_x000D_
Prospective PIs may also be interested in the Human Networks and Data Science Program   Infrastructure(HNDS-I), which supports proposals addressing the development of data resources and relevant analytic techniques that support research in the social, behavioral and economic sciences.Prospective PIs are strongly encouraged to contact the RISBS program officers and/or program officers from other SBE programs that may be applicable to the proposal before submitting to RISBS and to refer to the NSF Proposal   Award Policies   Procedures Guide (PAPPG) policies on duplicate or substantially similar proposals.</t>
  </si>
  <si>
    <t>Cooperative Research Units Program Department of the Interior Geological Survey</t>
  </si>
  <si>
    <t>Others (see text field entitled "Additional Information on Eligibility" for clarification) Only CRU Cooperating Universities are eligible to apply to the RWO component of the Cooperative Research UnitProgram pursuant to the Cooperative Research Unit Act (Public Law 86-686).</t>
  </si>
  <si>
    <t xml:space="preserve">The Cooperative Research Units (CRU) Program is a unique collaborative relationship between States, Universities, the Federal government and a non-profit organization. The program is comprised of 440 states. Since the original nine Units were established in the 1930s, additional Units were established by Congress at specified universities. The 41 units in the program are jointly supported by the US Geological Survey, Host Universities, State Natural Resource Agencies, Wildlife Management Institute, and the US Fish and Wildlife Service. </t>
  </si>
  <si>
    <t>Mathematical and Physical Sciences Ascending Faculty Catalyst Awards</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</si>
  <si>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Only prior recipients of MPS-Ascend Postdoc Fellowships (those awarded under NSF 21-573, NSF 22-501, or NSF 23-501) who completed no less than 12 months as an MPS-Ascend Postdoc Fellow, are eligible for MPS-Ascend Faculty Catalyst Awards.
_x000D_
Applications for MPS-Ascend Faculty Catalyst award are accepted by invitation extended by the Program Director who manages or is cognizant of their MPS-Ascend Postdoc Fellowship award. The invitation to apply for theMPS-Ascend Faculty Catalyst award can be extended by themanaging or cognizant Program Director of the MPS-Ascend Postdoc Fellowship Award only after theMPS-Ascend Postdoc Fellows contacted and communicated with them.
_x000D_
Invited MPS-Ascend Faculty Catalyst proposals must be received no more than 12 months after the close of the MPS-Ascend Postdoc Fellowship, and no more than six months after the start of the first tenure-track appointment of the applicant at an Institution of Higher Education (IHE).
_x000D_
Hence, it is strongly advised that MPS-Ascend Postdoc Fellows contact their managing or cognizant Program Director as soon as they accept the offer of the tenure-track appointment.</t>
  </si>
  <si>
    <t>The purpose of the Mathematical and Physical Sciences Ascending Faculty Catalyst Awards (MPS-Ascend Faculty Catalyst Awards, MPS-AFCA) is to support successful MPS-Ascending Postdoctoral Research Fellows (MPS-Ascend Fellows) as they transition into tenure track (or equivalent) faculty positions at Institutions of Higher Education (IHE) inany scientific area within the purview of the five MPS Divisions: the Divisions of Astronomical Sciences (AST), Chemistry (CHE), Materials Research (DMR), Mathematical Sciences (DMS), and Physics (PHY).The program is intended to support these investigators of significant potential by providing them with resources for research and broadening participation activities that are in addition to initial resources typically provided through institutional start-up packages.This support is strategically designed to enable their continued scientific contributions and their exemplary leadership in the area of broadening participation. MPS-Ascend Postdoc Fellows are invited to apply for an MPS-Ascend Faculty Catalyst Award after consultation with the managing or cognizant Program Director of theMPS-Ascend Postdoc Fellowship Award.</t>
  </si>
  <si>
    <t>Fiscal Year (FY) 2023   2026 Bridge Investment Program, Large Bridge Project Grants</t>
  </si>
  <si>
    <t>State governments 1. A State or a group of States;  2. A metropolitan planning organization that serves an urbanized area (as designated by the Bureau of the Census) with a population over 200,000;3. A unit of local government or a group of local governments;4. A political subdivision of a State or local government;5. A special purpose district or a public authority with a transportation function;6. A Federal Land Management Agency (FLMA);7. A Tribal government or a consortium of Tribal governments; and8. A multistate or multijurisdictional group of entities as described above in 1   7.</t>
  </si>
  <si>
    <t>The purpose of this notice is to solicit applications for Large Bridge Project grants (a project with total eligible costs greater than $100 million) for awards under the Bridge Investment Program (BIP). This notice establishes a â€œrolling applicationâ€ process for Large Bridge Project applications by providing the schedule, requirements, and selection process for such projects for the remaining available amounts of BIP funding provided by the Infrastructure Investment and Jobs Act (also known as the â€œBipartisan Infrastructure Lawâ€ or BIL) for FY 2023 through FY 2026, which total up to $9.62 billion (see section B.1 for details for funds available for each fiscal year). The FHWA will solicit applications for the other two BIP project categories in a subsequent NOFO: (1) Planning and (2) Bridge Project (a project with total eligible costs not greater than $100 million).</t>
  </si>
  <si>
    <t>Enabling Partnerships to Increase Innovation Capacity</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</si>
  <si>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
The emphasis of this solicitation is to enable institutions, with limited or no research capacity, to create partnerships with external organizations to grow programs in workforce development, use-inspired research and development (R D), and/or the translation of research to practice in emerging technology fields.IHEs eligible to apply for funding under this solicitation are only those considered as neither R1 nor R2 institutions according to the 2021 Carnegie Classification of Institutions of Higher Education ( a title=  href=  target= ).
_x000D_
Minority Serving Institutions (MSIs), Predominantly Undergraduate Institutions (PUIs), and two-year institutions (including community colleges and technical schools) that are not classified as R1 or R2 institutions are strongly encouraged to apply.
_x000D_
Minority Serving Institutions (MSIs):
_x000D_
MSIs include Historically Black Colleges and Universities (HBCUs), Hispanic-serving institutions (HSIs), Tribal colleges or universities (TCUs), and other institutions that enroll a significant percentage of underrepresented minority students as defined by the U.S. Department of Education. These other institutions include Alaska Native-serving institutions, Native Hawaiian-serving institutions, Predominantly Black Institutions, Asian American and Native American Pacific Islander-serving institutions, and Native American-serving non-tribal institutions. For more information, please see the U.S. Department of Education's definitions and lists of eligible postsecondary institutions ( a title=  href=  target= Link to MSI definitions ).
*Who May Serve as PI:
The PI must hold a full-time administrative or faculty position at the proposing institution. Part-time administrators, adjunct faculty, and temporary hires are not eligible to serve as PI. 
_x000D_
Preliminary proposals must identify up to three individuals from the submitting institution (including the PI) to participate in the EPIIC workshops, and at least one administrator is required to serve on this team. See Section II for details about the workshops. See Section V.A. for more details about the make-up of proposing teams.</t>
  </si>
  <si>
    <t>The purpose of this solicitation is to broaden participation in innovation ecosystems that advance key technologies (e.g., advanced manufacturing, advanced wireless, artificial intelligence, biotechnology, quantum information science, semiconductors, novel materials, and microelectronics) by supporting capacity-buildingefforts at institutions of higher education (IHEs) interested in growing external partnerships. Creation of this program is motivated by the commitment of the National Science Foundation (NSF), including the newly established NSF Directorate for Technology, Innovation and Partnerships (TIP), to accelerate scientific and technological innovation nationwide and empower all Americans to participate in the U.S. research and innovation enterprise. Establishing more inclusive innovation ecosystems will require broad networks of partners working together in support of use-inspired research; the translation of such research to practice or commercial application; and the development of a skilled workforce. The NSF Regional Innovation Engines (NSF Engines) program, housed within the TIP Directorate, seeks to growinclusive innovation ecosystemsaround the country. Growing such ecosystems will only be successful if all interested IHEs within a region are able to participate and contribute their unique set of skills and expertise. However, NSF appreciates many Minority-Serving Institutions (MSIs), Predominantly Undergraduate Institutions (PUIs), and two-year institutions lack the infrastructure and resources needed to grow external partnerships and effectively contribute to innovation ecosystems, and thus are currently unable to effectively engage with the NSF Engines program.
_x000D_
This solicitation aims to provide MSIs, PUIs, and two-year institutions with limited or no research capacity (see Section IV for details) with the support necessary to become equitable partners with teams competing under the current and subsequent NSF Engines program funding opportunities.Importantly, participation in this solicitation is not predicated on an existing partnership with organizations submitting an NSF Engines proposal.Rather, it is expected that the capacity-building efforts funded under this solicitation will provide significant innovation partnership opportunities irrespective of future participation in an NSF Engine.</t>
  </si>
  <si>
    <t>Competition for the Management of Operation and Maintenance of the National Geophysical Facility</t>
  </si>
  <si>
    <t>Others (see text field entitled "Additional Information on Eligibility" for clarification) *Who May Submit Proposals: Proposals may only be submitted by the following:
  -For-profit organizations: U.S.-based commercial organizations, including small businesses, with strong capabilities in scientific or engineering research or education and a passion for innovation.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The Principal Investigator (PI) must be an employee of the proposing organization.</t>
  </si>
  <si>
    <t>The National Science Foundation (NSF) is soliciting proposals for managing the operation and maintenance of the National Geophysical Facility (hereafter referred to as NGF) an NSF-funded major facility. The NGF is designed to enable the research community to ask, and address, questions about a variety of Earth processes from local to global scales. NGF will operate global and regional networks of sensors; provide a lending library of instrumentation and support services to enable PI-led field experiments; support archiving, quality control, and delivery of geophysical data and data product development; and provide education, outreach, workforce development, and community engagement activities that serve a wide range of audiences. NGF will be a single facility, with a single operator that will succeed NSF s current geophysical facilities, the Seismological Facility for the Advancement of GEoscience (SAGE) and the Geodetic Facility for the Advancement of GEoscience (GAGE).
_x000D_
The award recipient will work closely with NSF and the scientific community to ensure that NGF capabilities support, and advance, Earth Sciences and related disciplines. In cooperation with NSF, and within available resources, the recipient will plan and execute a viable, coherent, and inclusive program to: (1) streamline the management and operations of existing geophysical facility capabilities into one consolidated geophysical facility; (2) enhance existing facility capabilities in instrumentation, data services and cyberinfrastructure; and (3) implement a bold vision to broaden participation and foster a culture of equity and inclusion in the Earth Sciences and related disciplines.
_x000D_
The NSF Division of Earth Sciences (EAR) in the Directorate for Geosciences (GEO) has primary responsibility for the programmatic oversight of NGF and activities will be coordinated with the Division of Ocean Sciences (OCE), Division of Atmospheric and Geospace Sciences (AGS), and Office of Polar Programs (OPP).
_x000D_
A single award will be made as a cooperative agreement with a duration of five years. NSF may renew the award for an additional five years, subject to availability of funds, the recipient's satisfactory performance, and review of a cost proposal for the second 5-year period. NSF s decision will be informed by the National Science Board Statement on Recompetition of Major Facilities (NSB 2015-45 or its successor).</t>
  </si>
  <si>
    <t>Single Cell Opioid Responses in the Context of HIV (SCORCH) Program: Data Mining and Functional Validation (R21 Clinical Trial Not Allowed)</t>
  </si>
  <si>
    <t>Private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</si>
  <si>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initiative is to: 1.Support mining of SCORCH data to identify cell types, transcripts, enhancers, or transcriptional networks that play a role in HIV/ART or SUD molecular responses2.Support functional validation studies (e.g. epigenomic or transcriptomic manipulation, high throughput secondary screening, etc.) to confirm or deny a biological role for data-mined cell types, transcripts, enhancers, or transcriptional networks in HIV/ART or SUD molecular responses3.Provide foundational knowledge for understanding SUD and/or HIV/ART molecular mechanisms and to generate validated targets that could serve as a foundation for new SUD or HIV therapeutics (including NeuroHIV cognitive phenotypes)</t>
  </si>
  <si>
    <t>Single Cell Opioid Responses in the Context of HIV (SCORCH) Program:  Data Mining and Functional Validation (R01 Clinical Trial Not Allowed)</t>
  </si>
  <si>
    <t>Native American tribal organizations (other than Federally recognized tribal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</si>
  <si>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Research in the Formation of Engineers</t>
  </si>
  <si>
    <t>The NSF Engineering Directorate (ENG) has launched a multi-year initiative, theProfessional Formation of Engineers, to create and support an innovative and inclusive engineering profession for the 21stcentury. Professional Formation of Engineers (PFE) refers to the formal and informal processes and value systems by which people become engineers. It also includes the ethical responsibility of practicing engineers to sustain and grow the profession in order to improve quality of life for all peoples. The engineering profession must be responsive to national priorities, grand challenges, and dynamic workforce needs; it must be equally open and accessible to all.
_x000D_
Professional Formation of Engineers includes, but is not limited, to:
_x000D_
_x000D_
Introductions to the profession at any age;_x000D_
Development of deep technical and professional skills, knowledge, and abilities in both formal and informal settings/domains;_x000D_
Development of outlooks, perspectives, ways of thinking, knowing, and doing;_x000D_
Development of identity as an engineer and its intersection with other identities; and_x000D_
Acculturation to the profession, its standards, and norms._x000D_
_x000D_
The goal of the Research in the Formation of Engineers (RFE) program is to advance our understanding of professional formation. It seeks both to deepen our fundamental understanding of the underlying processes and mechanisms that support professional formation and to demonstrate how professional formation is or can be accomplished. Ultimately RFE aims to transform the engineer-formation system, and thus the impact of proposed projects on this system must be described. Principal Investigators (PIs) should provide a roadmap detailing how they envision the proposed research will eventually broadly impact practice within the engineer-formation system, even if these activities are not within the scope of the submitted proposal.
_x000D_
In order to accomplish its goals, RFE welcomes proposals in two categories: Research Projects, and Design and Development Projects. Research Projects address fundamental questions of professional formation, while Design and Development Projects provide new approaches to achieving professional formation. Additional details are provided below. Projects in both categories should address the iterative cycle in which research questions that advance understanding are informed by practice and the results of research are, in turn, translated into practice. In other words, proposals should explain how the research results will travel, translate, transfer, or scale. Successful projects identify specific target audiences, effective communication channels, and novel partnerships to ensure effective propagation and scaling. Proposal titles should begin with either   or  Design and Development:  as appropriate.
_x000D_
Research Projects
_x000D_
Research proposals are particularly welcome in the following areas:
_x000D_
_x000D_
Research that addresses lifelong learning by the engineering workforce._x000D_
Research on the impact of engineering education research. Proposals addressing this topic could investigate questions such as: How can we measure the impacts of engineering education research? What are effective strategies for scaling reforms? How can we translate knowledge from research to practice? What are the roles of technologies, networks and communities in achieving impact? RFE does not support efficacy, effectiveness, or scale-up studies for specific interventions._x000D_
Research that addresses culture change in engineering education. Included in this topic are investigations of normative cultures of engineering at any level in the engineering education ecosystem and how these cultures may disadvantage certain groups._x000D_
Research that addresses engineering formation at the two-year college level in both formal and informal settings._x000D_
Research that addresses engineering formation at the graduate education level in both formal and informal settings._x000D_
Research that investigates engineering in P-12 settings. Research in this area could include understanding of approaches to engineering in P-12, how to develop engineering ways of thinking, or the relationship between practices within the sciences and mathematics and engineering thinking._x000D_
Research on the transitions between education levels, e.g., from high school to two-year college, high school to four-year college/university, two-year college to four-year college/university, undergraduate to graduate school, education settings to the workforce or professoriate, etc._x000D_
Research that addresses the relationship between engineering and the public. Proposals addressing this topic could consider the social impact of engineering solutions, citizen engineering, education of an informed public, etc._x000D_
Research that develops or adapts novel methodologies and frameworks appropriate for studying the professional formation of engineers, and especially minoritized, marginalized, or underserved populations._x000D_
Research that addresses ways in which new technologies (such as artificial intelligence and machine learning) are changing engineering education._x000D_
Research to transform engineering education so that all students encounter environmental and social sustainability principles as an integrated part of their education and are equipped with the tools needed to incorporate these principles into their future research, careers, and innovations._x000D_
_x000D_
Proposals submitted to the Research Projects category should have clear research questions informed by an appropriate theoretical framework and a research design that includes sampling, data collection, and data analysis methods. This category will not support proposals that seek funding primarily to develop tools, curriculum, or laboratories, or that seek to implement classroom innovations that have already been shown to be effective in engineering. The program will evaluate the value of proposals by considering the impact and the cost. Research track projects that are small, exploratory, or speculative are especially encouraged. Larger Research track projects should have a correspondingly larger impact.
_x000D_
Design and Development Projects
_x000D_
RFE supports Design and Development projects (seehttps://www.nsf.gov/publications/pub_summ.jsp?ods_key=nsf13126) that seek to develop and test new approaches in the following areas related to engineering education:
_x000D_
_x000D_
Graduate education._x000D_
Undergraduate education in new engineering technologies and environmental sustainability._x000D_
Transitions between education levels, for example high school to two-year college, high school to four-year college/university, two-year college to four-year college/university, undergraduate to graduate school, education settings to the workforce or professoriate, etc._x000D_
P-12, especially approaches to develop engineering thinking, or providing links between engineering, science, and mathematics._x000D_
_x000D_
Proposals in this category should propose the design and development of new approaches that are informed by existing literature and theory. There should be clear objectives and the evaluation plan should be designed to determine if those objectives have been met. Projects cannot be solely demonstration projects but must add to the engineering education literature to inform future work.</t>
  </si>
  <si>
    <t>Firearm Injury Prevention in Community Healthcare Settings (R01 Clinical Trial Optional)</t>
  </si>
  <si>
    <t>County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</si>
  <si>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purpose of this initiative is to advance research that reduces firearm injury and disparities through the development and evaluation of firearm injury primary prevention interventions leveraging community healthcare settings.</t>
  </si>
  <si>
    <t>Broadening Opportunities for Computational Genomics and Data Science Education (UE5  Clinical Trial Not Allowed)</t>
  </si>
  <si>
    <t>Small businesses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not allowed.</t>
  </si>
  <si>
    <t>The NIH Research Education Program (UE5) supports research education activities in the mission areas of the NIH. The overarching goal of this UE5 program is to support educational activities that encourage individuals from diverse backgrounds, including those from groups underrepresented in the biomedical and behavioral sciences, to pursue further studies or careers in computational genomics and data science research. To accomplish the stated over-arching goal, this NOFO will support creative educational activities with a primary focus on:
Courses for Skills Development
Specifically, this UE5 program will support faculty members at minority-serving institutions (MSIs) to create undergraduate or masters degree  courses in computational genomics, data science, or a combination of these topics. Support for this activity will be provided by the Educational Hub for Enhancing Diversity in Computational Genomics and Data Science, created through RFA-HG-22-002. For developing skills in computational genomics and data science, these courses will leverage the resources of NIH cloud computing platforms such as NHGRIs AnVIL and the All of Us Researcher Workbench.</t>
  </si>
  <si>
    <t>Digital Humanities Advancement Grants</t>
  </si>
  <si>
    <t>The National Endowment for the Humanities (NEH) Office of Digital Humanities is accepting applications for the Digital Humanities Advancement Grants program. The program supports innovative, experimental, and/or computationally challenging digital projects leading to work that can scale to enhance scholarly research, teaching, and public programming in the humanities.</t>
  </si>
  <si>
    <t>EMpowering BRoader Academic Capacity and Education</t>
  </si>
  <si>
    <t>Others (see text field entitled "Additional Information on Eligibility" for clarification) *Who May Submit Proposals: Proposals may only be submitted by the following:
  -
Proposals may only be submitted by institutions of higher education (IHEs) not currently classified as a Doctoral University with  Very High Research Activity  (R1 institutions) according to the a href=  target= Carnegie Classification a href= Integrated Postsecondary Education Data System .
_x000D_
Non-R1 institutions include two- and four-year IHEs [such as tribal colleges and universities (TCUs), historically black colleges and universities (HBCUs), other non-R1 minority serving institutions (MSIs), two-year colleges (2YCs), primarily undergraduate institutions (PUIs), and emerging research and masters level institutions] accredited in and having a campus located in the U.S., acting on behalf of their faculty members.
*Who May Serve as PI:
Principal Investigators (PIs) must hold primary appointments at institutions eligible to submit proposals in response to this solicitation. Submission from PIs at R1 institutions will be returned without review.</t>
  </si>
  <si>
    <t>The NSF Directorate for Geosciences (GEO) EMpowering BRoader Academic Capacity and Education (EMBRACE) program seeks to support research and educational efforts at "non-R1" institutions, including non-R1 minority serving institutions (MSIs), two-year colleges (2YCs), primarily undergraduate institutions (PUIs), and emerging research and masters level institutions (see Carnegie Classification and Integrated Postsecondary Education Data System). With this solicitation, the EMBRACE program aims to mitigate multiple barriers faced by faculty members in geosciences and related fields at non-R1 institutions in submitting and obtaining federal funding (e.g., high teaching loads, increased expectations for teaching and mentoring, low or no start-up packages, and limited institutional infrastructure and research support personnel).
_x000D_
The EMBRACE program supports two categories of proposals: Seed and Growth.
_x000D_
Seed proposals can request up to two years of funding for faculty members in GEO-related disciplines at non-R1 institutions to (1) initiate research and/or education programs at their own institutions; and/or (2) build or catalyze research collaborations or partnerships:
_x000D_
_x000D_
within the same institution; or_x000D_
across peer institutions; or_x000D_
with research-intensive institutions; or_x000D_
with industry or other non-academic entities; or_x000D_
any combination mentioned above._x000D_
_x000D_
Growth proposals can request up to four years of funding to enable faculty members at non-R1 institutions to establish independent GEO-related disciplinary research programs. In addition to research, funding may be used to support undergraduate and/or graduate students, post-doctoral scholars, salary (summer, course buyout, sabbatical) and other research related expenses.</t>
  </si>
  <si>
    <t>Engaging Survivors of Sexual Violence and Trafficking in HIV and Substance Use Disorder Services (R34 Clinical Trial Optional)</t>
  </si>
  <si>
    <t>The goal of this concept is to support exploratory research and preliminary interventions to address the interrelated and compounding contextual factors that contribute to substance use and HIV risk among sexual trafficking survivors. This would be accomplished through research that builds new interventions and models of care that can effectively engage ST survivors in care for SUD, HIV, trauma, and other mental health outcomes and addresses key structural and social determinants of health that contribute to risk for ST as well as barriers to and facilitators of escaping continued exploitation.</t>
  </si>
  <si>
    <t>Forward-Looking Experimentation (FLEX)</t>
  </si>
  <si>
    <t>DOD-DARPA-MTO</t>
  </si>
  <si>
    <t xml:space="preserve">DARPA - Microsystems Technology Office </t>
  </si>
  <si>
    <t>The Microsystems Technology Office at DARPA seeks fundamental research proposals for disruptive ideas in information and communication technologies (ICT) addressing the grand challenges for a data-driven future. Proposed research should investigate innovative approaches that enable revolutionary advances in science, devices, or systems. The goal of the Forward-Looking Experimentation (FLEX) program is to identify the direction and timing of key disruptive advances in ICT, accelerate technology exploration and generate intellectual property, develop next-generation researchers for the U.S. workforce, and build the foundation for future research programs.</t>
  </si>
  <si>
    <t>WaterSMART Planning and Project Design Grants For FY 2023 and FY 2024</t>
  </si>
  <si>
    <t>Others (see text field entitled "Additional Information on Eligibility" for clarification) Applicants eligible to receive financial assistance to fund activities under this NOFO include:Water Strategy Grants and Project Design GrantsCategory A applicants: States, Tribes, irrigation districts, and water districts; State, regional, or local authorities, the members of which include one or more organizations with water or power delivery authority; and other organizations with water or power delivery authority.All applicants must be located in one of the following States or territories: Alaska, Arizona, California, Colorado, Hawaii, Idaho, Kansas, Montana, Nebraska, Nevada, New Mexico, North Dakota, Oklahoma, Oregon, South Dakota, Texas, Utah, Washington, Wyoming, American Samoa, Guam, the Northern Mariana Islands, the Virgin Islands, and Puerto Rico.Category B applicants: Nonprofit conservation organizations that are acting in partnership with, and with the agreement of, an entity described in Category A. All Category B applicants must be located in the United States or the specific territories identified above. Category B applicants must include with their application a letter from the Category A partner stating that the Category A partner: (1) is acting in partnership with the applicant; (2) agrees to the submittal and content of the application; and (3) intends to participate in the project in some way, for example, by providing input, feedback, or other support for the project.Drought Contingency PlanningA State, Tribe, irrigation district, water district, or other organization with water or power delivery in one of the following states or territories: Arizona, California, Colorado, Hawaii, Idaho, Kansas, Montana, Nebraska, Nevada, New Mexico, North Dakota, Oklahoma, Oregon, South Dakota, Texas, Utah, Washington, Wyoming, American Samoa, Guam, the Northern Mariana Islands, or the Virgin Islands</t>
  </si>
  <si>
    <t>Through Planning and Project Design Grants, Reclamation provides funding for collaborative planning and design projects to support water management improvements. This includes funding for: (1) Water Strategy Grants to conduct planning activities to improve water supplies(e.g., water supplies to disadvantaged communities that do not have reliable access to water, water marketing, water conservation, drought resilience, and ecological resilience); (2) Project Design Grants to conduct project-specific design for projects to improve water management; and (3) comprehensive Drought Contingency Plans. Note that funding to develop a water marketing strategy â€“ formerly funded through Water Marketing Strategy Grants, a stand-alone funding opportunity under WaterSMART - is now available through (1) Water Strategy Grants.</t>
  </si>
  <si>
    <t>Arctic Research Opportunities</t>
  </si>
  <si>
    <t>Others (see text field entitled "Additional Information on Eligibility" for clarification) *Who May Submit Proposals: Proposals may only be submitted by the following:
  -Foreign organizations: For cooperative projects involving U.S. and foreign organizations, support will only be provided for the U.S. portion.
  -For-profit organizations: U.S.-based commercial organizations, including small businesses, with strong capabilities in scientific or engineering research or education and a passion for innovation.
  -Non-profit, non-academic organizations: Independent museums, observatories, research laboratories, professional societies and similar organizations located in the U.S. that are directly associated with educational or research activities.
  -Other Federal Agencies and Federally Funded Research and Development Centers (FFRDCs): Contact the appropriate program before preparing a proposal for submission.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-Tribal Nations: An American Indian or Alaska Native tribe, band, nation, pueblo, village, or community that the Secretary of the Interior acknowledges as a federally recognized tribe pursuant to the Federally Recognized Indian Tribe List Act of 1994, 25 U.S.C.   5130-5131.</t>
  </si>
  <si>
    <t>The National Science Foundation (NSF) invites investigators at U.S. organizations to submit proposals to the Arctic Sciences Section in the Office of Polar Programs (OPP) within the Geosciences Directorate, to conduct research about the Arctic region.
_x000D_
The goal of this solicitation is to attract research proposals that advance a fundamental, process, and/or systems-level understanding of the Arctic's rapidly changing natural environment, social and cultural systems, and, where appropriate, to improve our capacity to project future change. The Arctic Sciences Section supports research focused on the Arctic region and its connectivity with lower latitudes. The scientific scope is aligned with, but not limited to, research priorities outlined in theInteragency Arctic Research Policy Committee (IARPC)five-year plan.
_x000D_
The Arctic Sciences Section coordinates with programs across NSF and with other federal and international partners to co-review and co-fund Arctic-related proposals as appropriate. The Arctic Sciences Section also maintains Arctic logistical infrastructure and field support capabilities that are available to enable research.</t>
  </si>
  <si>
    <t>UNIVERSAL HEALTH CARE PROJECT APS</t>
  </si>
  <si>
    <t>USAID-PHI</t>
  </si>
  <si>
    <t>Philippines USAID-Manila</t>
  </si>
  <si>
    <t>Others (see text field entitled "Additional Information on Eligibility" for clarification) Some addenda will be unrestricted. Some addenda will be restricted to local Philippine entities.</t>
  </si>
  <si>
    <t>The U.S. Agency for International Development (USAID) Mission in the Philippines is pleased to announce the Universal Health Care Project (UHCP) Annual Program Statement (APS), which will improve health outcomes of underserved and vulnerable Filipinos in alignment with the United States Government (USG), USAID, and Philippine government objectives to achieve Universal Health Care (UHC). The UHCP is a suite of awards built to strategically improve national and local health systems in the Philippines across an integrated health portfolio. The UHCP will address challenges facing the health system in the Philippines by focusing on health systems strengthening (HSS), improving the quality of service delivery, and the adoption of positive social norms and behaviors. Project activities will implement focused health systems interventions to achieve key U.S. government objectives for tuberculosis (TB), family planning / adolescent reproductive health (FP/ARH), HIV/AIDS, global health security (GHS), health systems and other emerging public health concerns. Working together and in structured coordination, the awards under the UHCP will contribute towards a more resilient and equitable health system.USAID/Philippines will issue multiple addenda to this APS, and pending funding availability, intends to make approximately six awards addressing health priorities in the Philippines. Philippine entities are strongly encouraged to apply.</t>
  </si>
  <si>
    <t>Division of Materials Research: Topical Materials Research Programs</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</si>
  <si>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See  Limit on Number of Proposals per PI or Co-PI  below.</t>
  </si>
  <si>
    <t>Materials Research is the field of science where physics, chemistry, materials science, and engineering naturally converge in the pursuit of the fundamental understanding of the properties of materials and the phenomena they host. Materials are abundant and pervasive, serving as critical building blocks in technology and innovation. Materials Research impacts life and society, as it shapes our understanding of the material world and enables significant advances spanning the range from nanoelectronics to health-related fields. The development and deployment of advanced materials are major drivers of U.S. economic growth.
_x000D_
Research supported by the Division of Materials Research (DMR) focuses on advancing the fundamental understanding of materials, materials discovery, design, synthesis, characterization, properties, and materials-related phenomena. DMR awards enable understanding of the electronic, atomic, and molecular structures, mechanisms, and processes that govern nanoscale to macroscale morphology and properties; manipulation and control of these properties; discovery of emerging phenomena of matter and materials; and creation of novel design, synthesis, and processing strategies that lead to new materials with unique characteristics. These discoveries and advancements transcend traditional scientific and engineering disciplines. Projects supported by DMR are not only essential for the development of future technologies and industries that address societal needs, but also for the preparation of the next generation of materials researchers.
_x000D_
Additional Information
_x000D_
Eligibility rules apply for submissions; please see Section II. Program Description, Section IV. Eligibility Information, and Section V.A Proposal Preparation Instructions</t>
  </si>
  <si>
    <t>Condensed Matter and Materials Theory</t>
  </si>
  <si>
    <t>CMMT supports theoretical and computational materials research in the topical areas represented in DMR's other Topical Materials Research Programs (these are also variously known as Individual Investigator Award (IIA) Programs, or Core Programs, or Disciplinary Programs), which are: Condensed Matter Physics (CMP), Biomaterials (BMAT), Ceramics (CER), Electronic and Photonic Materials (EPM), Metals and Metallic Nanostructures (MMN), Polymers (POL), and Solid State and Materials Chemistry (SSMC). The CMMT program supports fundamental research that advances conceptual understanding of hard and soft materials, and materials-related phenomena; the development of associated analytical, computational, and data-centric techniques; and predictive materials-specific theory, simulation, and modeling for materials research. First-principles electronic structure, quantum many-body and field theories, statistical mechanics, classical and quantum Monte Carlo, and molecular dynamics, are among the methods used in the broad spectrum of research supported in CMMT. Research may encompass the advance of new paradigms in materials research, including emerging data-centric approaches utilizing data-analytics or machine learning. Computational efforts span from the level of workstations to advanced and high-performance scientific computing. Emphasis is on approaches that begin at the smallest appropriate length scale, such as electronic, atomic, molecular, nano-, micro-, and mesoscale, required to yield fundamental insight into material properties, processes, and behavior, to predict new materials and states of matter, and to reveal new materials phenomena. Approaches that span multiple scales of length and time may be required to advance fundamental understanding of materials properties and phenomena, particularly for polymeric materials and soft matter. Areas of recent interest include, but are not limited to: strongly correlated electron systems; topological phases; low-dimensional materials and systems; quantum and classical nonequilibrium phenomena, the latter including pattern formation, materials growth, microstructure evolution, fracture, and the jamming transition; gels; glasses; disordered materials, hard and soft; defects; high-temperature superconductivity; creation and manipulation of coherent quantum states; nanostructured materials and mesoscale phenomena; sustainable materials; polymeric materials and soft condensed matter; active matter and related collective behavior; biologically inspired materials, and research at the interfaces of materials with biological systems.
_x000D_
CMMT encourages potentially transformative submissions at the frontiers of theoretical, computational, and data-intensive materials research, which includes but is not limited to: i) advancing the understanding of emergent properties and phenomena of materials and condensed matter systems, ii) developing materials-specific prediction and advancing understanding of properties, phenomena, and emergent states of matter associated with either hard or soft materials, iii) developing and exploring new paradigms including computational and data-enabled approaches to advance fundamental understanding of materials and materials related phenomena, iv) fostering research at interfaces among subdisciplines represented in the Division of Materials Research, v) harnessing machine learning or developing explainable machine learning to advance understanding of materials and materials-related phenomena, or vi) developing new theoretical frameworks in areas of materials research, such as active matter, nonequilibrium materials or matter, the synthesis of solid-state materials, or reformulating quantum many-body theory for conceptual insight or greater tractability.
_x000D_
Research involving significant materials research cyberinfrastructure development, for example, software development with an aim to share software with the broader materials community, should be submitted to CMMT through Computational and Data-Enabled Science and Engineering (CDS E) in accordance with its submission instructions for DMR.
_x000D_
Additional Information
_x000D_
Eligibility rules apply for submissions; please see Section II. Program Description, Section IV. Eligibility Information, and Section V.A Proposal Preparation Instructions.</t>
  </si>
  <si>
    <t>Addressing HIV in highest risk sexual and gender minorities (R34 Clinical Trial Required)</t>
  </si>
  <si>
    <t>Independent school districts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</si>
  <si>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Substance use needs to be better incorporated into interventions for the engagement and retention of sexual minority persons in prevention and care with attention to emergent interventions such as long-acting PrEP. Social determinants of health associated with HIV and problematic substance use such as homelessness and criminal justice involvement also demonstrate disproportionate impact among sexual and gender minorities and need attention. Changing self-definition of sexual minority status has implications for outreach and provider stigma and needs to be better integrated into interventions. This initiative will address these gap areas and support epidemiologic, intervention, and implementation research that incorporates attention to HIV as a syndemic including comorbidities such as STIs, HCV, and psychiatric disorder.</t>
  </si>
  <si>
    <t>Addressing HIV in Highest Risk Sexual and Gender Minorities (R01 Clinical Trial Optional)</t>
  </si>
  <si>
    <t>Public and State controlled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</si>
  <si>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National Artificial Intelligence (AI) Research Institutes</t>
  </si>
  <si>
    <t xml:space="preserve">_x000D_
Artificial Intelligence (AI) has advanced tremendously and today promisespersonalizedhealthcare; enhanced national security; improved transportation; and more effective education, to name just a few benefits. Increased computing power, the availability of large datasets and streaming data, and algorithmic advances in machine learning (ML) have made it possible for AI research and development to create new sectors of the economy and revitalize industries. Continued advancement, enabled bysustainedfederal investment and channeled toward issues of national importance, holds the potentialfor further economic impact and quality-of-life improvements.
_x000D_
_x000D_
_x000D_
The 2023 update to theNational Artificial Intelligence Research and Development Strategic Plan,informed byvisioning activities in the scientific communityas well asinteraction with the public, identifies as its first strategic objective the need to make long-term investments in AI research in areas with the potential for long-term payoffs in AI. AI Institutes represent a cornerstone Federal Government commitment to fostering long-term, fundamental research in AI while also delivering significantly on each of the other eight objectives in that strategy. The National Security Commission on Artificial Intelligence (NSCAI) identifies AI Institutes as a key component of a bold, sustained federal push to scale and coordinate federal AI R D funding and to reinforce the foundation of technical leadership in AI.
_x000D_
This program is a multisector effort led by the National Science Foundation (NSF), in partnership with the Simons Foundation (SF), the National Institute of Standards and Technology (NIST), Department of Defense (DOD) Office of the Under Secretary of Defense for Research and Engineering (OUSD (R E)), Capital One Financial Corporation (Capital One),and Intel Corporation (Intel).
_x000D_
This program solicitation expands the nationwide network of AI Research Institutes with new funding opportunities over the next two years.In this round, the program invites proposals for institutes that have a principal focus in one of the following themes aimed at transformational advances in a range of economic sectors, and science and engineering fields:
_x000D_
_x000D_
_x000D_
Group 1 - Awards anticipated in FY 2024:_x000D_
_x000D_
Theme 1: AI for Astronomical Sciences_x000D_
_x000D_
_x000D_
Group 2 - Awards anticipated in FY 2025:_x000D_
_x000D_
Theme 2: AI for Discovery in Materials Research_x000D_
Theme 3: Strengthening AI_x000D_
_x000D_
_x000D_
_x000D_
For the institute themes listed in Group 1, NSF anticipates awards to start in FY 2024; and forthemes listed in Group 2, NSF anticipates awards to start in FY 2025. Each group has a specific set of due dates and review timeline pertaining only to that group. Moredetail is found under Due Dates and in the timeline provided in the Program Description.
_x000D_
</t>
  </si>
  <si>
    <t>Community Facilities Program Disaster Repair Grants</t>
  </si>
  <si>
    <t>USDA-RHS</t>
  </si>
  <si>
    <t>Rural Housing Service</t>
  </si>
  <si>
    <t>City or township governments An eligible applicant must be a public body, nonprofit corporation, or Federally-recognized tribe. To be eligible for grant funds under this Notice,  the project must be located in a rural area in a county (or a rural area of a Reservation for Indian tribes) with a disaster declaration as declared by the President of the United States;  the disaster declaration must be related to the consequences of a disaster occurring in CY 2022;  the Federal Emergency Management Agency (FEMA) must have provided a notice declaring the disaster.  The term rural or rural area is defined in Section 343(a)(13)(C) of the Consolidated Farm and Rural Development Act (7 U.S.C. 1991(a)(13)(C)), as amended, as a city, town or, unincorporated area that has a population of not more than 20,000 inhabitants.</t>
  </si>
  <si>
    <t xml:space="preserve">
This program provides up to $50 million in grant funding to eligible public bodies, non-profits, and Federally-recognized tribes. Grants may cover up to 75 percent of total project cost. There is no minimum or maximum award amount.
Grants will be provided to eligible applicants to repair eligible essential community facilities damaged by Presidentially Declared Disasters that occurred in CY 2022 . Subject to any updates to the Presidentially Declared Disasters, the following states have been identified with areas that have been impacted by qualifying events during CY 2022: Alaska, American Samoa, Arizona, California, Colorado, Florida, Hawaii, Idaho, Illinois, Iowa, Kansas, Kentucky, Maine, Massachusetts, Minnesota, Mississippi, Missouri, Montana, Nebraska, Nevada, New Mexico, New York, North Carolina, North Dakota, Oklahoma, Oregon, Puerto Rico, Rhode Island, South Carolina, South Dakota, Tennessee, Texas, U.S. Virgin Islands, Virginia, Washington, and West Virginia.
Applications for the CF Program Disaster Repair Grants must be submitted to the applicable USDA RD Office. Applications will be accepted on a continual basis, beginning on the publication date of this notice, until funds are exhausted. The applicable USDA RD State Office will conduct an initial review, rating, and selection of complete applications.</t>
  </si>
  <si>
    <t>Computational and Data-Enabled Science and Engineering</t>
  </si>
  <si>
    <t xml:space="preserve">Large-scale simulations and the ability to accumulate massive amounts of data have revolutionized science and engineering. The goal of the Computational and Data-enabled Science and Engineering (CDS E) meta-program is to identify and capitalize on opportunities for major scientific and engineering breakthroughs through new computational and data-analysis approaches and best practices. The CDS E meta-program supports projects that harness computation and data to advance knowledge and accelerate discovery above and beyond the goals of the participating individual programs. The intellectual drivers may be in an individual discipline or cut across more than one discipline in various Divisions and Directorates. A CDS E proposal should enable and/or utilize the development and adaptation of advances in research and infrastructure in computational and data science.
_x000D_
The CDS E meta-program encourages research that pushes the envelope of science and engineering through computation and data, welcoming proposals in any research area supported by the participating divisions. A proposal may address topics that develop or enable interactions among theory, computing, experiment, and observation to achieve progress on hitherto intractable science and engineering problems. Areas of emphasis for CDS E vary by program. PIs are advised to consult the "related programs" links below before submitting.
_x000D_
The CDS E meta-program is not intended to replace existing programs that support projects involving computation or the analysis of large or complex data sets using established methods. Rather, proposals submitted to the CDS E meta-program must have a significant component of computational or data science that goes well beyond what would typically be included in these programs.Any proposal submitted to the CDS E program that is not responsive to this Program Description may be transferred to or reviewed within the context of an individual program. A proposal requesting consideration within the context of CDS E should begin the title with the identifying acronym "CDS E:". Supplement requests to existing awards may also be considered. A CDS E proposal should include substantive science, engineering, or computing research. Algorithm and pilot software development supporting science and engineering may also be appropriate, depending on the program. Proposers who seek to implement proven, existing methods into robust cyberinfrastructure are referred instead to the program on Cyberinfrastructure for Sustained Scientific Innovation (CSSI).
_x000D_
A CDS E proposal should be submitted to one of the "Related Programs" or Divisions by the associated submission window, deadline, or target date listed in the table below. In picking the most relevant program, PIs are advised to read program descriptions and solicitations carefully and consult with cognizant Program Officers before proposal preparation. Proposal submissions outside the receiving program's scientific scope may be transferred to a different program or returned without review.
_x000D_
_x000D_
Due Dates
_x000D_
_x000D_
_x000D_
DirectorateDivision and ProgramSubmission Window or Target Date_x000D_
_x000D_
_x000D_
_x000D_
_x000D_
ENG
_x000D_
_x000D_
_x000D_
Division of Chemical, Bioengineering, Environmental, and Transport Systems
_x000D_
_x000D_
_x000D_
 September 01, 2023 - September 15, 2023
_x000D_
 September 01- September 15, Annually Thereafter
_x000D_
_x000D_
_x000D_
_x000D_
_x000D_
ENG
_x000D_
_x000D_
_x000D_
Division of Civil, Mechanical and Manufacturing Innovation
_x000D_
_x000D_
_x000D_
 September 01, 2023 - September 15, 2023
_x000D_
 September 01- September 15, Annually Thereafter
_x000D_
_x000D_
_x000D_
_x000D_
_x000D_
MPS
_x000D_
_x000D_
_x000D_
Division of Chemistry - Chemical Catalysis (CAT), Chemical Structure Dynamics and Mechanisms-B (CSDM-B), Chemical Synthesis (SYN)
_x000D_
_x000D_
_x000D_
 September 01, 2023 - September 30, 2023
_x000D_
 September 01 - September 30, Annually Thereafter
_x000D_
_x000D_
_x000D_
_x000D_
_x000D_
MPS
_x000D_
_x000D_
_x000D_
Division of Materials Research
_x000D_
_x000D_
_x000D_
 October 16, 2023
_x000D_
 October 15, Annually Thereafter
_x000D_
_x000D_
_x000D_
_x000D_
_x000D_
MPS
_x000D_
_x000D_
_x000D_
Division of Astronomical Sciences - Advanced Technologies and Instrumentation
_x000D_
_x000D_
_x000D_
 October 01, 2023 - November 15, 2023
_x000D_
 October 01 - November 15, Annually Thereafter
_x000D_
_x000D_
_x000D_
_x000D_
_x000D_
MPS
_x000D_
_x000D_
_x000D_
Division of Chemistry - Chemical Measurement and Imaging (CMI), Environmental Chemical Sciences (ECS), and Macromolecular, Supramolecular and Nanochemistry (MSN)
_x000D_
_x000D_
_x000D_
 October 01, 2023 - October 31, 2023
_x000D_
 October 1 - October 31, Annually Thereafter
_x000D_
_x000D_
_x000D_
_x000D_
_x000D_
MPS
_x000D_
_x000D_
_x000D_
Division of Astronomical Sciences - Astronomy and Astrophysics Research Grants
_x000D_
_x000D_
_x000D_
 October 01, 2023 - November 15, 2023
_x000D_
 October 01 - November 15, Annually Thereafter
_x000D_
_x000D_
_x000D_
_x000D_
_x000D_
MPS
_x000D_
_x000D_
_x000D_
Division of Physics: Investigator-Initiated Research Projects   Plasma Physics program
_x000D_
_x000D_
_x000D_
 November 20, 2023,
_x000D_
 Third Monday in November, Annually Thereafter
_x000D_
_x000D_
_x000D_
_x000D_
_x000D_
MPS
_x000D_
_x000D_
_x000D_
Division of Chemistry - Chemistry of Life Processes (CLP), Chemical Structure, Dynamics, and Mechanisms-A (CSDM-A), Chemical Theory, Models and Computational Methods (CTMC)
_x000D_
_x000D_
_x000D_
 Full proposals accepted anytime
_x000D_
_x000D_
_x000D_
_x000D_
_x000D_
MPS
_x000D_
_x000D_
_x000D_
Division of Mathematical Sciences
_x000D_
_x000D_
_x000D_
 Full proposals accepted anytime
_x000D_
_x000D_
_x000D_
_x000D_
</t>
  </si>
  <si>
    <t>Dahlgren University Research and Development (R D) Projects and Capstone Projects</t>
  </si>
  <si>
    <t>Naval Surface Warfare Center Dahlgren Division is interested in receiving proposals for the following Basic and Applied Research Opportunity Areas: College - University Student and Faculty Research Projects (DD-01) NSWCDD is interested in receiving proposals directed toward student and faculty general research projects where the focus is upon priority technologies and capabilities performed at NSWCDD. NSWCDD is especially, but not solely, interested in research projects dealing with Hypersonics, Software Engineering, Quantum Computing and Sensing, Artificial Intelligence, Machine Learning, Unmanned systems and Autonomy, Safety Systems, Human Systems Integration, and Warfare System Development and Integration which includes cyber security, directed energy, sensor systems, materials, chemical, biological, radiological (CBR) defense, and high powered microwaves among others. College - University Student Capstone and Senior Research Projects (DD-02) NSWCDD seeks proposals for novel research projects whose intent is the development of future naval scientists and engineers. NSWCDD is especially interested in research projects in the areas of Hypersonics, Software Engineering, Quantum Computing and Sensing, Artificial Intelligence, Machine Learning, Unmanned systems and Autonomy, Safety Systems, Human Systems Integration, and Warfare System Development and Integration which includes cyber security, directed energy, sensor systems, materials, and high powered microwaves among others. Other technology areas will be evaluated on a case-by-case basis. The primary goal of these projects is to develop student interests in Naval engineering with an eye toward future employment.</t>
  </si>
  <si>
    <t>NSF National Quantum Virtual Laboratory</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</si>
  <si>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The PI must be a faculty member at the Lead Organization or permanent staff person from a non-profit, non-academic organization with authority to act on behalf of the organization. Co-PIs listed on the Cover Sheet may be from organizations other than the Lead Organization.</t>
  </si>
  <si>
    <t xml:space="preserve">The National Quantum Initiative (NQI) Act1 aims to ensure the continuing leadership of the United States (U.S.) in quantum information science and technology. In conformance with the NQI goals, an argument2-5 was set forth for a renewed emphasis on identifying and fostering early adoption of quantum technologies to transform the field of Quantum Information Science and Engineering (QISE) and to accelerate broader impacts on society. A systematic approach to maturing quantum technology platforms by integrating end-users and potential customers from other fields of science and engineering and other sectors of the economy into cycles of research, development, and demonstration should result in lowering the barriers for end-users to pioneer new applications. NSF support for use-inspired and translational research in QISE, combined with its existing strength in support of the underlying foundational research, is anticipated to accelerate development of a market for quantum technologies.
_x000D_
With this program solicitation, the Foundation is introducing the National Quantum Virtual Laboratory (NQVL) concept as an overarching shared infrastructure designed to facilitate the translation from basic science and engineering to the resultant technology, while at the same time emphasizing and advancing its scientific and technical value. The NQVL aims to develop and utilize use-inspired and application-oriented quantum technologies. In the process, NQVL researchers will explore quantum frontiers6, foster QISE workforce education and training, engage in outreach activities at all levels, and promote broadening participation, diversity, equity, and inclusion in QISE, thereby lowering barriers at all entry points of the research enterprise. The engagement of the entire United States (U.S.) QISE community will be necessary for this initiative to succeed, and, indeed, the project is designed to include participation from a full spectrum of organizations who have expertise to contribute. In particular, NSF recognizes that the involvement of industry partners is essential and will welcome these to be a part of the overall structure. Partnerships with other U.S. Federal agencies under the NQI umbrella are also encouraged.
_x000D_
This solicitation lays out a vision for the entire NQVL program that includes Quantum Science and Technology Demonstration (QSTD) projects, support for enabling technologies through Transformative Advances in Quantum Systems (TAQS), as well as a central coordination hub. Proposals for Pilot phase QSTDs are solicited at this time.
_x000D_
It is required that prospective PIs contact the NQVL Program Officer(s) as soon as possible, but not later than two weeks before submitting a proposal in response to this solicitation, to ascertain that the focus and budget of their proposal is appropriate for this solicitation.
_x000D_
_x000D_
H.R.6227 - National Quantum Initiative Act, https://www.congress.gov/bill/115th-congress/house-bill/6227_x000D_
Accelerating Progress Towards Practical Quantum Advantage, A National Science Foundation Project Scoping Workshop (2022), https://arxiv.org/abs/2210.14757_x000D_
Quantum Computer Systems for Scientific Discovery, PRX Quantum 2, 017001 (2021) https://doi.org/10.1103/PRXQuantum.2.017001_x000D_
Development of Quantum InterConnects for Next-Generation Information Technologies, PRX Quantum 2, 017002 (2021) https://doi.org/10.1103/PRXQuantum.2.017002_x000D_
Quantum Simulators: Architectures and Opportunities, PRX Quantum 2, 017003 (2021) https://doi.org/10.1103/PRXQuantum.2.017003_x000D_
Quantum Frontiers: Report on Community Input to the Nation's Strategy for Quantum Information Science, https://www.quantum.gov/wp-content/uploads/2020/10/QuantumFrontiers.pdf_x000D_
</t>
  </si>
  <si>
    <t>Facility and Instrumentation Request Process</t>
  </si>
  <si>
    <t>The Facility andInstrumentationRequest Process (FIRP)solicitation describes themechanismby which the research community can propose projects that require access toinstrumentation and facilities sponsored by theFacilitiesfor Atmospheric Researchand Education(FARE) Programin theDivision of Atmospheric andGeospaceSciences (AGS). FARE provides funding to a variety of organizations to make specialized instrumentation and facilities available to the atmospheric science research communitythrough the Lower Atmosphere Observing Facilities (LAOF) and the Community Instruments and Facilities (CIF) programs. FIRP allows for parallel evaluation of intellectual merit and broader impacts along with the feasibility of the proposed project.
_x000D_
All proposals to AGS that require the use of FARE-sponsored assets must be submitted through this solicitation.
_x000D_
The FIRP solicitation offers three proposal submission tracks based on the type and purpose of the request:
_x000D_
_x000D_
Track 1-Education and Outreach._x000D_
Track 2-Single Facility Request._x000D_
Track 3-Field Campaigns.  _x000D_
_x000D_
Preference for funding will be given to proposals submitted to programs in the DivisionofAtmospheric andGeospaceSciences (AGS) in the Geosciences Directorate (GEO).If you are planning to submit a proposal to a program outside AGS, including NSF-wide or Directorate-wide solicitations, please contact the FARE program director, Shree Mishra at fare@nsf.gov to discuss the timelines, review process, andbudget request for the use of FARE assets.</t>
  </si>
  <si>
    <t>DHS S T Center of Excellence Supplement Applications</t>
  </si>
  <si>
    <t>Public and State controlled institutions of higher education This announcement is open ONLY to existing Center of Excellence recipients as identified below.</t>
  </si>
  <si>
    <t>The COEs are multi-disciplinary, university-based research and education Centers that conduct rigorous, innovative and useful research. DHS expects the COEs to break new theoretical and empirical ground as well as adapt existing approaches to Homeland Security missions and technology gaps. Research methods proposed under these funding continuations should be rooted in rigorous science and engineering disciplines. Knowledge generated by the COE's research must be amenable to integration with homeland security customers. As a whole, the portfolio of proposed projects should generate substantial original and cutting-edge research results. Applications for supplemental funding will be considered for research and education activities within the scope of work for each COEThis NOFO is for supplemental awards for existing Centers of Excellence (COEs) recipients:National Counterterrorism Innovation, Technology and Education (NCITE) - University of Nebraska OmahaSoft Target Engineering to Neutralize the Threat Reality (SENTRY) - Northeastern UniversityCritical Infrastructure Resilience Institute (CIRI) - University of Illinois at Urbana-ChampaignCoastal Resilience Center (CRC) - University of North Carolina at Chapel HillCenter for Criminal Investigations and Network Analysis (CINA) - George Mason UniversityCenter for Accelerating Operational Efficiency (CAOE) - Arizona State UniversityCenter for Cross-Border Threats Screening and Supply Chain Defense (CBTS) - Texas A M University</t>
  </si>
  <si>
    <t>Catalysis</t>
  </si>
  <si>
    <t>The Catalysis program is part of the Chemical Process Systems cluster, which also includes: 1) the Electrochemical Systems program; 2) the Interfacial Engineering program; and 3) the Process Systems, Reaction Engineering, and Molecular Thermodynamics program.
_x000D_
The goals of the Catalysis program are to increase fundamental understanding in catalytic engineering science and to advance the development of catalysts and catalytic reactions that are beneficial to society. Research should focus on critical challenges and opportunities in both new and proven catalysis technologies. Areas of emphasis may include novel catalyst compositions, structures, operating environment, data science tools, theory, and modeling   preferably in various combinations as dictated by the specific reaction and related knowledge and technology gaps. Target applications include fuels, specialty and bulk chemicals, environmental catalysis, biomass conversion to fuels and chemicals, greenhouse gas mitigation, recycling of waste materials, generation of solar hydrogen, as well as efficient routes to energy utilization.
_x000D_
Heterogeneous catalysis represents the main thrust of the program. Proposals related to both gas-solid and liquid-solid heterogeneous catalysis are welcome, as are proposals that incorporate concepts from homogeneous catalysis. Recent research trends have highlighted the need for evaluation of catalyst performance and properties under working conditions, especially as supported by advanced in situ and in operando characterization methods. Catalyst synthesizability and stability present additional research opportunities given the harsh operating environments of many catalytic processes. 
_x000D_
Topic areas of particular interest include:
_x000D_
_x000D_
Energy-related catalysis, utilizing renewable or sustainable energy in lieu of thermal, fossil fuel-based technologies, especially applications in electrocatalysis, photocatalysis, and catalytic conversion of biomass-derived chemicals, and also including fuel cell catalysis._x000D_
Catalysis aimed at closing the carbon cycle (especially conversion of carbon dioxide, methane, and natural gas to fuels and chemical intermediates)._x000D_
Heterogeneous catalytic alternatives to traditionally non-catalytic or homogeneous reaction processes, as well as new catalyst designs for established catalytic processes._x000D_
Environmental catalysis focused on mitigating both air and water pollutants, and supporting energy-efficient upcycling of waste materials to higher-value products._x000D_
Catalytic remediation of feedstocks, process streams, products, or effluents._x000D_
Commercially scalable methods of catalyst synthesis, including durable, poison-resistant, and easily regenerable catalyst formulations and designs._x000D_
New catalytic materials and architectures (especially those substituting earth-abundant materials for precious and noble metal catalysts)._x000D_
Basic understanding of catalytic materials, reaction pathways, kinetics, and surface reaction mechanisms._x000D_
Advanced tools for catalyst characterization and theoretical/computational catalysis._x000D_
_x000D_
Proposals that deal with new catalytic materials, especially when viewed in light of the inherent complexity of heterogeneous catalytic reactions, will be enhanced by including plans to assess: 1) reproducibility and repeatability of data, 2) stability under realistic operating conditions including start-up and shut-down cycles, 3) performance relative to standard or well-known reference materials, and 4) quantitative, well-accepted measures of catalyst activity, selectivity, and catalytic efficiency, such as turnover frequencies, quantum and/or photon yields of photocatalysts, Faradaic efficiency of electrocatalytic reactions, and detailed product analyses and mass balances for the targeted application.
_x000D_
NOTE: Proposals that focus on 1) molecular or homogeneous catalysis, 2) the surface science of catalysis, 3) photo redox catalysis, 4) catalytic organic synthesis reactions, and/or 5) fine chemical synthesis and pharmaceutical applications of catalysis may be more appropriately submitted to the Chemical Catalysis program.(CHE 6884) in the Division of Chemistry in the Directorate for Mathematical and Physical Sciences. Proposals focused on biocatalytic processes, including proposals focusing on enzyme engineering, cellular and biomolecular processes, should be submitted to the Cellular and Biochemical Engineering program (CBET 1491). If the proposal focuses on reaction engineering aspects of catalytic processes, submit to the Process Systems, Reaction Engineering, and Molecular Thermodynamics program (CBET 1403). Projects that are interdisciplinary in nature may be jointly funded with other CBET and NSF programs. Program directors will review the submissions and may transfer your proposal to give it the best review situation.
_x000D_
Innovative proposals outside of these specific interest areas may be considered. However, prior to submission, it is recommended that the Principal Investigator contact the program director to avoid the possibility of the proposal being returned without review.
_x000D_
INFORMATION COMMON TO MOST CBET PROGRAMS
_x000D_
Proposals should address the novelty and/orpotentially transformative natureof the proposed work compared to previous work in the field.Also, it is important to address why the proposed work is important in terms of engineering science, as well as to also project the potential impact on society and/or industry of success in the research.The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principal investigator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years.The submission deadline for Engineering CAREER proposals is in July every year. Learn more in the CAREER program description.
_x000D_
Proposals for Conferences, Workshops, and Supplements: PIs are strongly encouraged to discuss their requests with the rogram director before submission of the proposal.
_x000D_
Grants forRapid Response Research(RAPID)andEArly-concept Grants for Exploratory Research(EAGER)are also considered when appropriate. Please note that proposals of these types must be discussed with the program director before submission. 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theProposal   Award Policies   Procedures Guide(PAPPG), Part 1, Chapter II, Section E: Types of Proposals.
_x000D_
COMPLIANCE: Proposals which are not compliant with theProposal   Award Policies   Procedures Guide (PAPPG)will be returned without review.</t>
  </si>
  <si>
    <t>NAVAL AIR WARFARE CENTER AIRCRAFT DIVISION OFFICE-WIDE BROAD AGENCY ANNOUNCEMENT (BAA)</t>
  </si>
  <si>
    <t>DOD-ONR-AIR</t>
  </si>
  <si>
    <t>NAVAIR</t>
  </si>
  <si>
    <t>The Naval Air Warfare Center Aircraft Division (NAWCAD) is interested in receiving white papers for Research and Development projects which offer potential for advancement and improvement of NAWCAD operations. See attachment, N00421-23-S-0001 NAWCAD Office-Wide BAA, for further details</t>
  </si>
  <si>
    <t>Biological Technologies</t>
  </si>
  <si>
    <t>This announcement seeks revolutionary research ideas for topics not being addressed by ongoing BTO programs or other published solicitations.</t>
  </si>
  <si>
    <t>Calendar Year 2022 Disaster Water Grants</t>
  </si>
  <si>
    <t>Others (see text field entitled "Additional Information on Eligibility" for clarification) Eligible Applicants.  See information on eligibility under Description below.</t>
  </si>
  <si>
    <t>APPLICATIONS ARE TO BE SUBMITTED ELECTRONICALLY THROUGH RD APPLY AT: https://rdapply.sc.egov.usda.gov/. This posting at grants.gov is informational only. ï»¿The CY 2022 Disaster Water Grants Program is designed to assist communities by awarding grant funds to qualified entities for expenses related to water infrastructure systems in designated areas that were impacted by events that occurred during CY 2022 and were recognized through Presidentially Declared Disasters. In addition to damage repairs, these grants are also intended to develop system capacity and resiliency in order to reduce or eliminate long-term risks from future events. Water infrastructure systems include drinking water, wastewater, solid waste, and stormwater projects serving eligible communities. Adequate documentation must be provided to demonstrate impacts to the water infrastructure systems. Eligible applicants must meet the following eligibility requirements: (a) Be either a Public Body, an organization operated on a not-for-profit basis, a tribe, or a prefabricated home organization operating an eligible community-based system. Non-tribal applicants proposing to serve tribes and tribal areas should have the support of those tribes either in the form of a Tribal Resolution and/or letter of support for the project impacting their communities.(b) Be eligible to receive and administer a Federal grant under Federal law. (c) Each applicant must:(1) Have or will obtain the legal authority necessary for owning, constructing, operating, and maintaining the facility or service to be repaired or replaced and for issuing security for the proposed grant;(2) Be responsible for operating, maintaining, and managing the facility, and providing for its continued availability and use at reasonable user rates and charges; and(3) Retain this responsibility even though the facility may be operated, maintained, or managed by a third party under contract or management agreement. (d) Demonstrate that they possess the technical, managerial, and financial capability necessary to consistently comply with pertinent Federal and State laws and requirements. (e) Have no delinquent debt to the federal government or no outstanding judgments to repay a federal debt.</t>
  </si>
  <si>
    <t>BHA Multi Year Annual Program Statement (BHA MYAPS)</t>
  </si>
  <si>
    <t>Unrestricted (i.e., open to any type of entity above), subject to any clarification in text field entitled "Additional Information on Eligibility" See APS for applicant eligibility details</t>
  </si>
  <si>
    <t>April 23, 2024 Final Amended RFSA MY APS Somalia Round 1  
Please note that the Final Amended RFSA MY APS Somalia for USAID's Bureau for Humanitarian Assistance (BHA) Resilience Food Security Activity (RFSA) as well as the Questions   Answers document have been published (as of Tuesday, April 23, 2024) on Grants.gov. The amended RFSA (changes highlighted in yellow) and Q A document addresses the pertinent questions/comments received by the April 3, 2024, 12:00 p.m. ET closing date.  
March 28, 2024 Final version of Madagascar RFSA MY APS Round 2 
Please note that the final version of Madagascar MY APS Round 2 for USAID's Bureau for Humanitarian Assistance (BHA) RFSA in Madagascar has been published (as of Tuesday, March 28, 2024) on Grants.gov. The final Round 2 addresses the pertinent questions/comments received during the comments period for the subject Round 2. 
Applications are due by Friday May 13, 2024 at 12:00pm Eastern Time (ET). 
Please note that no BHA Humanitarian Assistance Officers or field representatives should be contacted about information contained in the RFSA materials or with application questions. Any questions concerning this RFSA, its appendices, or Technical References must be submitted in writing by April 11, 2024 at 12:00pm Eastern Time (ET) to BHA.720BHA23APS00002-02.MG@usaid.gov with "Madagascar MY APS Round 2" in the subject line.  
March 19, 2024 Final version of Somalia RFSA MY APS Round 1 
Please note that the final version of Somalia MY APS Round 1 for USAID's Bureau for Humanitarian Assistance (BHA) RFSA in Somalia has been published (as of Tuesday, March 19, 2024) on Grants.gov. The final Round 1 addresses the pertinent questions/comments received during the comments period for the subject Round 1. 
Applications are due by Friday May 3, 2024 at 12:00pm Eastern Time (ET). 
Please note that no BHA Humanitarian Assistance Officers or field representatives should be contacted about information contained in the RFSA materials or with application questions. Any questions concerning this RFSA, its appendices, or Technical References must be submitted in writing by April 3, 2024 at 12:00pm Eastern Time (ET) to BHA.720BHA23APS00002-01.SOM@usaid.gov with "Somalia MY APS Round 1" in the subject line.  
February 27, 2024 
The Public Briefing Fiscal Year (FY) 2024 Somalia Resilience Food Security Activity (RFSA) is now available. The presentation can be found under Related Documents and the recorded presentation can be found at the following link: and the BHA RFSA page: https://www.usaid.gov/humanitarian-assistance/partner-with-bha/bha-rfsa. 
February 26, 2024 
The Public Briefing Fiscal Year (FY) 2024 Madagascar Resilience Food Security Activity (RFSA) is now available. The presentation can be found under Related Documents and the recorded presentation can be found at the following link: https://drive.google.com/file/d/1D9ReLqYb3h43i7YgLtIl2har96xscWuV/view  and the BHA RFSA page: https://www.usaid.gov/humanitarian-assistance/partner-with-bha/bha-rfsa. 
February 14, 2024 
Round Two of the Multi-Year Annual Program Statement (MY APS) No. 720BHA23APS00002-02-MG (referred to as MY APS Round-2, RFSA, or Madagascar RFSA) is requesting the submission of applications focused on resilience and food security in Madagascar. USAID anticipates issuing up to two (2) awards under this Round. 
This round is issued under the MY APS. Unless otherwise stated herein, all terms and conditions of the MY APS apply. Please refer to the Base MY APS for additional information. While this Round is intended to be an elaboration of the information provided in the Base APS, should there be differences between the two, this MY APS Round-2 will supersede information in the Base APS. As such, both documents should be read in conjunction to ensure all application requirements are met. 
The draft round is available for public comment. 
Comments regarding this Round 02 Madagascar RFSA should be submitted in writing to: BHA.720BHA23APS00002-02.MG@usaid.gov no later than March 1, 2024 at 4:00pm EST.  
USAID/BHA will conduct a stakeholder consultation on February 22, 2024, from 9am-12pm EST for Round 02 Madagascar Resilience Food Security Activities (RFSA). 
The agenda for the stakeholder briefing is as follows: 
Welcome and Overview 
Overview of the Madagascar RFSA 
Overview of the MY APS Round 
Questions and Answers 
Closing 
BHA will conduct the briefing using a virtual format, using this call-in information:  
meet.google.com/kui-gvkw-czo or join by phone: +1 385-323-0247â€¬ PIN: â€ª145 134 253â€¬.  
More phone numbers: https://meet.google.com/tel/kui-gvkw-czo?pin=5002157298488 hs=1. 
There will be no in-person option for this briefing.â€¬â€¬ 
Participants must register by 6:00 pm EST on February 21 using this Google link: https://docs.google.com/forms/d/e/1FAIpQLScCwE2NCriRmwm1Emm1wY8-TmNrdphdqeLDJBVuxkvdXwtxLA/viewform?usp=sf_link.  
There is no limit on the number of virtual participants.  
February 16, 2024 
The Somalia Round 1 draft closed on February 16, 2024.</t>
  </si>
  <si>
    <t>Legacy Resource Management Program</t>
  </si>
  <si>
    <t>Others (see text field entitled "Additional Information on Eligibility" for clarification) Public and private agencies, organizations, institutions, and individuals are invited to apply.</t>
  </si>
  <si>
    <t>The Washington Headquarters Services, Acquisition Directorate, (WHS/AD) seeks applications for cooperative agreements for relevantconservation projects. This NFO requests that respondents provide project narratives identifying projects that align with the purposes and public benefits identified. The project narratives will be used to identify projects and stakeholders for ongoing Legacy Program funding opportunities and conservation community engagement. Depending on the available funding and strength of the proposed project narratives, some offerors may be invited to submit full proposals or receive awards. See the NFO for more information.</t>
  </si>
  <si>
    <t>Process Systems, Reaction Engineering, and Molecular Thermodynamics</t>
  </si>
  <si>
    <t>TheProcess Systems, Reaction Engineering, and Molecular Thermodynamicsprogram is part of the Chemical Process Systems cluster, which also includes: 1) theCatalysisprogram; 2) theElectrochemical Systemsprogram; and 3) theInterfacial Engineeringprogram.
_x000D_
The goal of theProcess Systems, Reaction Engineering, and Molecular Thermodynamicsprogram is to advance fundamental engineering research on the rates and mechanisms of chemical reactions, systems engineering, and molecular thermodynamics as they relate to the design and optimization of chemical reactors and the production of specialized materials that have important impacts on society.
_x000D_
The program supports the development of advanced optimization and control algorithms for chemical processes, molecular and multi-scale modeling of complex chemical systems, fundamental studies on molecular thermodynamics, and the integration of these methods and concepts into the design of novel chemical products and manufacturing processes. This program supports sustainable chemical manufacturing research on the development of energy-efficientchemical processes and environmentally-friendly chemical products through concurrent chemical product/process design methods.Sustainability is also enhanced by research that promotes the electrification of the chemical process industries over current thermally-activated processes.
_x000D_
Proposals should focus on:
_x000D_
_x000D_
Chemical reaction engineering: This area encompasses the interaction of transport phenomena and kinetics in reactive systems and the use of this knowledge in the design of chemical reactors.Research areas include(1) development of novel reactor designs, such as catalytic and membrane reactors, micro-reactors, chemical vapor and atomic layer deposition systems, (2) studies of reactions in supercritical fluids, (3) novel reaction activation techniques such as atmospheric pressure plasmas (which may be submitted under the ECLIPSE meta-program) and microwave radiation, (4) design of multifunctional and intensified systems, such as chemical-factory/lab-on-a-chip concepts, (5) nanoparticle nucleation, growth, and surface functionalization, and (6) biomass conversion to fuels and chemicals.The program also supports new approaches that enable the design of modular chemical manufacturing systems such as distributed hydrogen and ammonia production processes._x000D_
Process design, optimization, and control: This area encompasses process systems science, including the development of process modeling, design, control and optimization theory and algorithms; process development proposals are not appropriate for this program.High-priority research topics include process intensification, modular process systems, smart manufacturing, large-scale carbon dioxide capture and conversion, computational tools (including those based on quantum computing methods) enabling advanced chemical manufacturing, real-time optimization and control of large-scale chemical systems with quantitative sustainability metrics, machine learning, and optimization of enterprise-wide processes involving planning, scheduling, and real-time control to create resilient supply chains._x000D_
Reactive polymer processing: Program scope in this area is limited to research that integrates synthesis and processing to engineer specific nanoscale structures and compositions to tune the macroscopic scale properties of polymers, such as their ability to biodegrade or to be recycled. The focus is on reactive processes that address these environmental concerns while producing tailor-made macromolecular materials._x000D_
Molecular thermodynamics: This area focuses on fundamental research that combines principles of classical thermodynamics, statistical mechanics, and atomistic-scale simulations to improve chemical processing and to facilitate synthesis of novel functional materials such as catalysts, polymers, solvents, and colloids. Topics include fundamental studies on self- and directed-assembly of nanoscale-level patterned polymer films, machine-learning methods to predict structure-property relationships, large-ensemble molecular dynamics simulations, simulation of peptide self-assembly and protein interactions, and behavior of multiphase and reactive systems under nanoscale confinement. The ultimate goal of research supported by this program is to enable the development of more efficient chemical processes, improve environmental sustainability and water quality, and design functional materials with tailored properties._x000D_
_x000D_
Innovative proposals outside of these specific interest areas may be considered.However, prior to submission, it is recommended that the Principal Investigator contact the program director to avoid the possibility of the proposal being returned without review. Hypothesis-driven research plans are encouraged.
_x000D_
INFORMATION COMMON TO MOST CBET PROGRAMS
_x000D_
Proposals should address the novelty and/or potentially transformative nature of the proposed work compared to previous work in the field. Also, it is important to address why the proposed work is important in terms of engineering science, as well as to also project the potential impact on society and/or industry of success in the research.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principal investigator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years.The submission deadline for Engineering CAREER proposals is in July every year. Learn more in the 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 Please note that proposals of these types must be discussed with the program director before submission. 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theProposal   Award Policies   Procedures Guide(PAPPG), Part 1, Chapter II, Section E: Types of Proposals.
_x000D_
COMPLIANCE: Proposals which are not compliant with theProposal and Award Policies and Procedures Guide (PAPPG)will be returned without review.</t>
  </si>
  <si>
    <t>Disability and Rehabilitation Engineering</t>
  </si>
  <si>
    <t>The Disability and Rehabilitation Engineering program is part of the Engineering Biology and Health cluster, which also includes: 1) the Biophotonics program; 2) the Biosensing program; 3) the Cellular and Biochemical Engineering program; and 4) the Engineering of Biomedical Systems program.
_x000D_
The Disability and Rehabilitation Engineering program supports fundamental engineering research that will improve the quality of life of persons with disabilities through the development of new theories, methodologies, technologies, or devices. Disabilities could be developmental, cognitive, hearing, mobility, visual, selfcare, independent living, or other. Proposed projects must advance knowledge regarding a specific human disability or pathological motion or understanding of injury mechanisms.
_x000D_
Research may be supported that is directed toward the characterization, restoration, rehabilitation, and/or substitution of human functional ability or cognition, or to the interaction between persons with disabilities and their environment. Areas of particular interest are neuroengineering, rehabilitation robotics, brain-inspired assistive or rehabilitative systems, theoretical or computational methods, and novel models of functional recovery including the development and application of artificial physiological systems.
_x000D_
Emphasis is placed on significant advancement of fundamental engineering knowledge that facilitates transformative outcomes. The DARE Program encourages high-risk/high-reward proposals that surpass incremental technological improvements. The DARE Program also encourages participatory design and the inclusion of trainees with disabilities as part of the proposed research or broader impacts.
_x000D_
Innovative proposals outside of the above specific interest areas may be considered. However, prior to submission, it is recommended that the PI contact the Program Director to avoid the possibility of the proposal being returned without review.
_x000D_
NSF does not support clinical trials; however, feasibility studies involving human volunteers may be supported if appropriate to the project objectives. The development and application of artificial physiological systems that do not model functional recovery and instead improve fundamental understanding of physiological and pathophysiological processes would be appropriate for EBMS.
_x000D_
Furthermore, the DARE program does not support proposals having as their central theme commercialization of a product. Small businesses seeking early stage R D funding for product development are encouraged to contact the NSF SBIR/STTR program in the America's Seed Fund within the Directorate for Technology, Innovation and Partnerships (TIP).
_x000D_
INFORMATION COMMON TO MOST CBET PROGRAMS
_x000D_
Proposals should address the novelty and/or potentially transformative nature of the proposed work compared to previous work in the field. Also, it is important to address why the proposed work is important in terms of engineering science, as well as to also project the potential impact of success in the research on society and/or industry.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principal investigator time per year (awards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 (CAREER) program proposals are strongly encouraged. Award duration is five years. The submission deadline for Engineering CAREER proposals is in July every year. Learn more in the CAREER program description.
_x000D_
Proposals for Conferences, Workshops, and Supplements: PIs are strongly encouraged to discuss their requests with the program director before submission of the proposal.
_x000D_
Grants for Facilitation Awards For Scientists And Engineers With Disabilities (FASED), EArly-concept Grants for Exploratory Research (EAGER), and Rapid Response Research (RAPID) are also considered when appropriate. Please note that proposals of these types must be discussed with the program director before submission. Grant Opportunities for Academic Liaison with Industry (GOALI) proposals that integrate fundamental research with translational results and are consistent with the application areas of interest to each program are also encouraged. Please note that FASED, EAGER, RAPID, and GOALI proposals can be submitted anytime during the year. Details about FASED, EAGER, RAPID, and GOALI are available in the Proposal   Award Policies   Procedures Guide (PAPPG), Part 1, Chapter II, Section E: Types of Proposals.
_x000D_
Compliance: Proposals that are not compliant with the Proposal   Award Policies   Procedures Guide (PAPPG) will be returned without review.</t>
  </si>
  <si>
    <t>Engineering of Biomedical Systems</t>
  </si>
  <si>
    <t>TheEngineering of Biomedical Systemsprogram is part of the Engineering Biology and Health cluster, which also includes: 1) theBiophotonicsprogram; 2) theBiosensingprogram; 3) theCellular and Biochemical Engineeringprogram; and 4) theDisability and Rehabilitation Engineeringprogram.
_x000D_
The goal of theEngineering of Biomedical Systems(EBMS) program is to provide opportunities for fundamental and transformative research projects that integrate engineering and life sciences to solve biomedical problems and serve humanity in the long term. Projects are expected to use an engineering framework (for example, design or modeling) that supports increased understanding of physiological or pathophysiological processes. Projects must include objectives that advance both engineering and biomedical sciences.
_x000D_
Projects may include: methods, models, and enabling tools applied to understand or control living systems; fundamental improvements in deriving information from cells, tissues, organs, and organ systems; or new approaches to the design of systems that include both living and non-living components for eventual medical use in the long term.
_x000D_
TheEBMS programsupports fundamental and transformative research in the following areas of biomedical engineering:
_x000D_
_x000D_
Developmentof validated models (living or computational) of healthy and pathological tissues and organ systems that can support improved fundamental understanding of these systems or that could be applied in the future for development and testing of medical interventions;_x000D_
Designand validation of systems that integrate living and non-living componentsfor improved understanding of physiology that could be applied in the future for diagnosis, monitoring, and treatment ofdisease or injury;_x000D_
Design and subsequent application of technologies andtools toinvestigate fundamental physiological and pathophysiological processes;_x000D_
Advancedbiomanufacturing of three-dimensional tissues and organs; and_x000D_
Application of engineering tools and principles, including mathematical modeling, to quantitatively study the immune system in health and disease and to develop techniques for controlling and modulating a host s immune response to challenges such as infectious diseases, cancer, implants, autoimmune disorders, wounds, etc._x000D_
_x000D_
The long-term impact of the projects can be related to effective disease diagnosis and/or treatment, or improved health care delivery. However, immediate goals should focus on improved fundamental understanding of cell and tissue function in normal or pathological conditions and advancing biomedical engineering.
_x000D_
Innovative proposals outside of these specific areas of biomedical engineering may be considered.However, prior to submission, it is strongly recommended that the PIs contact the program director to avoid the possibility of the proposal being returned without review. Related programs also fund biomedical engineering research, and PIs are encouraged to examine these to find the appropriate program for submission.
_x000D_
The EBMS program does not support proposals having as their central theme drug design and delivery, the development of biomedical devices that do not include a living biological component, or thedevelopment of animal models of disease.For consideration by the EBMS program, proposals that advance the design of tools or technologies should also apply those technologies to advance knowledge in biomedical science. NSF does not support clinical trials; however, feasibility studies involving human volunteers may be supported if appropriate to the project objectives.
_x000D_
Projects with a central focus on design or optimization of a device, material, algorithm, or process alone without exploring new fundamental biomedical science are not appropriate for the EBMS program. Furthermore, although research on biomaterials, cellular biomechanics, manufacturing systems, or algorithm/device design may constitute a part of the proposed studies, such research can be more appropriately targeted to other NSF programs:
_x000D_
_x000D_
Projects that aim to improve protein engineering or cellular biomanufacturing - either manufacturing cells or cell-derived products - should consider the Cellular and Biochemical Engineering (CBE) program._x000D_
Projects that focus on the development and application of microphysiological systems that model functional recovery related to a specific human disability or injury mechanism should consider the Disability and Rehabilitation Engineering (DARE) program._x000D_
Biomaterials-focused projects should consider the Biomaterials (BMAT) program in the Division of Materials Research (DMR)._x000D_
Cellular and tissue biomechanics projects should consider the Biomechanics and Mechanobiology (BMMB) program in the Division of Civil, Mechanical, and Manufacturing Innovation (CMMI)._x000D_
Manufacturing systems proposals should consider the Advanced Manufacturing(AM) program in the Division of Civil, Mechanical, and Manufacturing Innovation (CMMI)._x000D_
Innovative research on signal processing techniques or dynamic biosensing systems should consider the Communications, Circuits, and Sensing-Systems (CCSS) program in the Division of Electrical, Communications and Cyber Systems (ECCS)._x000D_
Innovative research on novel devices based on the principles of electronics, optics and photonics, optoelectronics, magnetics, opto- and electromechanics, electromagnetics, and related physical phenomena, also including material-device interaction, should consider the Electronics, Photonics and Magnetic Devices (EPMD) Program in the Division of Electrical, Communications and Cyber Systems (ECCS)._x000D_
_x000D_
INFORMATION COMMON TO MOST CBET PROGRAMS
_x000D_
Proposals should address the novelty and/orpotentially transformative natureof the proposed work compared to previous work in the field. Also, it is important to address why the proposed work is important in terms of engineering science, as well as to also project the potential impact of success in the research on society and/or industry.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 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 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Guide(PAPPG), Part 1, Chapter II, Section E: Types of Proposals.
_x000D_
Compliance: Proposals that are not compliant with theProposal   Award Policies   Procedures Guide (PAPPG)will be returned without review.</t>
  </si>
  <si>
    <t>Cellular and Biochemical Engineering</t>
  </si>
  <si>
    <t xml:space="preserve">Synopsis
_x000D_
TheCellular and Biochemical Engineering(CBE)program is part of theEngineering Biology and Healthcluster, which also includes: 1) theBiophotonicsprogram; 2) theBiosensingprogram; 3) theDisability and Rehabilitation Engineeringprogram; and 4) theEngineering of Biomedical Systemsprogram.
_x000D_
TheCellular and Biochemical Engineeringprogram supports fundamental engineering research that advances understanding of cellular andbiomolecular processes. CBE-funded research may lead to the development of enabling technology for advanced biomanufacturing of therapeutic cells, biochemicals, and biopharmaceuticals, and for otherbiotechnology industrie.
_x000D_
The program encourages highly innovative and potentially transformative engineering research leading to novel bioprocessing and biomanufacturing approaches. Fundamental to many CBE research projects is the understanding of how biomolecules, subcellular systems, cells, and cell populations interact, and how those interactions lead to changes in structure, function, and behavior. A quantitative treatment of problems related to biological processes is considered vital to successful research projects in the CBE program.
_x000D_
Major areas of interest for the program include:
_x000D_
_x000D_
Metabolic engineering and synthetic biology for biomanufacturing,_x000D_
The design of synthetic metabolic components and synthetic cells,_x000D_
Microbiome structure, function, maintenance, and design,_x000D_
Protein and enzyme engineering, and_x000D_
Design of integrated chemoenzymatic systems._x000D_
_x000D_
The CBE program also encourages proposals that effectively integrate knowledge and practices from different disciplines while incorporating ongoing research into educational activities.
_x000D_
All proposals should include a description on the potential impact of proposed research on an associated biomanufacturing process.
_x000D_
Proposals whose core innovation involves tissue engineering, organ culture, development of models of healthy or diseased physiology, or design and application of technologies focused on the diagnosis or treatment of disease should be submitted to theEngineering ofBiomedicalSystemsprogram(CBET 5345).
_x000D_
_x000D_
_x000D_
_x000D_
Innovative proposals outside of these specific interest areas may be considered. However, prior to submission, it is recommended that the Principal Investigator contact the program director to avoid the possibility of the proposal being returned without review.
_x000D_
INFORMATION COMMON TO MOST CBET PROGRAMS
_x000D_
Proposals should address the novelty and/orpotentially transformative natureof the proposed work compared to previous work in the field. Also, it is important to address why the proposed work is important in terms of engineering science, as well as to also project the potential impact of success in the research on society and/or industry.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principal investigator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 The submission deadline for Engineering CAREER proposals is in July every year. Learn more in theCAREER program description.
_x000D_
Proposals for Conferences, Workshops, and Supplements: Principal Investigators are strongly encouraged to discuss their requests with the Program Director before submission of the proposal.
_x000D_
Grants forRapid Response Research(RAPID)andEArly-concept Grants for Exploratory Research(EAGER)are also considered when appropriate. 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Guide(PAPPG), Part 1, Chapter II, Section E: Types of Proposals.
_x000D_
Compliance: Proposals that are not compliant with theProposal   Award Policies   Procedures Guide (PAPPG)will be returned without review.
_x000D_
_x000D_
_x000D_
</t>
  </si>
  <si>
    <t>Redefining Possible - 2023</t>
  </si>
  <si>
    <t>DOD-DARPA-TTO</t>
  </si>
  <si>
    <t>DARPA - Tactical Technology Office</t>
  </si>
  <si>
    <t>The Tactical Technology Office (TTO) of the Defense Advanced Research Projects Agency (DARPA) is soliciting executive summaries, proposal abstracts, and proposals for applied research, advanced technology development, platform demonstrations, or systems studies that aim to redefine the future of warfighting across four domains: Air, Ground, Maritime, and Space.</t>
  </si>
  <si>
    <t>C4ISR, Information Operations, Cyberspace Operations and Information Technology System Research, Cryogenics and Quantum Broad Agency Announcement (BAA)</t>
  </si>
  <si>
    <t>DOD-ONR-NIWCPAC</t>
  </si>
  <si>
    <t>Naval Information Warfare Center Pacific</t>
  </si>
  <si>
    <t>Others (see text field entitled "Additional Information on Eligibility" for clarification) All responsible sources as defined at FAR 9.104-1, Contract Qualifications - Responsible Prospective Contractors, General Standards, may submit a proposal</t>
  </si>
  <si>
    <t>Amendment 0002Date: 06 December 2023Amendment 0002 updates various language and hyperlinks in the BAA. Changes in this amendment are highlighted in yellow. Please see amendment for complete details.----------------------------------------------------------------------------------------------------------------------Amendment 0001Date: 23 June 2023Amendment 0001 updates the link to NAVWAR E-Commerce and adds information to Part 1: Overview Information. Changes in this amendment are highlighted in yellow. Please see amendment for complete details.-------------------------------------------------------------------------------------------------------------------------------------------------------------------------------------------------------------------------The Naval Information Warfare Center, Pacific (NIWC Pacific) is soliciting white papers and proposals in accordance with Federal Acquisition Regulation (FAR) 6.102(d)(2), FAR 35.016, Department of Defense Grant and Agreement Regulations (DoDGARS) 22.315(a), 10 U.S.C. Â§ 2371b.. Submissions in response to this announcement shall be for areas relating to the advancement of Command, Control, Communications, Computers, Intelligence, Surveillance, and Reconnaissance (C4ISR) capabilities, enabling technologies for Information Operations and Cyberspace Operations, and Information Technology systems. Accordingly, proposals selected for award are considered to be the result of full and open competition and fully compliant with PL 98-369, "The Competition in Contracting Act of 1984.â€ This BAA is for procurement contracts (hereinafter referred to as contracts), grants, cooperative agreements, and other transactions. Proposed research should investigate unique and innovative approaches for defining and developing next generation integratable C4ISR capabilities and command suites.</t>
  </si>
  <si>
    <t>NSF Small Business Innovation Research / Small Business Technology Transfer Phase I Programs</t>
  </si>
  <si>
    <t>Others (see text field entitled "Additional Information on Eligibility" for clarification) *Who May Submit Proposals: Proposals may only be submitted by the following:
  - _x000D_
 Firms qualifying as a small business concern are eligible to participate in the NSF SBIR/STTR program (see a href= Eligibility Guide for more information). Please note that the size limit of 500 employeesincludes affiliates. The firm must be in compliance with the a href= SBIR/STTR Policy Directive(s) and the Code of Federal Regulations ( a href= 13 CFR Part 121 ). For STTR proposals, the applicant small business must also include a partner research institution in the project, see additional details below. AND _x000D_
 Proposers that have received an official invitation to submit a proposal from the cognizant NSF SBIR/STTR Program Director within the past twelve months. To receive the invitation, potential proposers must submit a Project Pitch document and receive an official response (via email) from the cognizant Program Director.Please see section V.A for details. _x000D_
 _x000D_
NSF does not fund proposals from companies that are majority-owned by one or more venture capital operating companies (VCOCs), hedge funds, or private equity firms. Proposals from joint ventures and partnerships are permitted, provided the proposing entity qualifies as a small business concern (see Eligibility Guide for more information).
_x000D_
In compliance with the  a href= CHIPS and Science Act of 2022 , Section 10636 (Person or entity of concern prohibition) ( a href= 42 U.S.C. 19235 ): No person published on the list under section 1237(b) of the Strom Thurmond National Defense Authorization Act for Fiscal Year 1999 (Public Law 105 261; 50 U.S.C. 1701 note) or  a href= entity identified under section 1260h  of the William M. (Mac) Thornberry National Defense Authorization Act for Fiscal Year 2021 (10 U.S.C. 113 note; Public Law 116 283) may receive or participate in any grant, award, program, support, or other activity under the Directorate for Technology, Innovation and Partnerships.
_x000D_
 Collaborative Proposal from Multiple Organizations  (a special proposal type in Research.gov) are not allowed. Collaborations with research institutions are encouraged; however, only one proposal, submitted by the company and with subawards to the research institution(s), is allowed.
*Who May Serve as PI:
The primary employment of the Principal Investigator (PI) must be with the small business at the time of award and for the duration of the award, unless a new PI is named. Primary employment is defined as at least 51 percent employed by the small business. NSF normally considers a full-time work week to be 40 hours and considers employment elsewhere of greater than 19.6 hours per week to be in conflict with this requirement. The PI must have a legal right to work for the proposing company in the United States, as evidenced by citizenship, permanent residency, or an appropriate visa. The PI does not need to be associated with an academic institution. There are no PI degree requirements (i.e., the PI is not required to hold a Ph.D. or any other degree). A PI may be primarily employed at another organization at the time of submission, if he or she is primarily employed at the proposing small business at the time of award. A PI must devote a minimum</t>
  </si>
  <si>
    <t xml:space="preserve">Introduction to the Program:
_x000D_
In 1977, the National Science Foundation (NSF) piloted and subsequently instituted the  Small Business Innovation Applied to National Needs  program, a precursor to the Small Business Innovation Research (SBIR) program and a first of its kind within the federal government. The goal of this program was to catalyze the innovative capabilities of small firms within the United States by supporting  high-risk, potentially high-payoff  projects [1].The NSF SBIR/STTR program solicits proposals from small businesses based on groundbreaking scientific discoveries or significant engineering breakthroughs consistent with NSF's mission to promote the progress of science; to advance the national health, prosperity, and welfare; and to secure the national defense. This NSF program is governed by 15 U.S.C. 638 and the National Science Foundation Act of 1950, as amended (42 U.S.C. 1861 et seq.).
_x000D_
The current NSF SBIR/STTR program continues this legacy of supporting the translation of scientific discovery into products and services with commercial potential and/or societal benefit. Unlike fundamental or basic research activities that focus on scientific and engineering discovery itself, the NSF SBIR/STTR program supports the creation of opportunities to move discoveries founded from fundamental science and engineering out of the lab and into the market or other use at scale, through startups and small businesses.
_x000D_
The NSF SBIR/STTR program provides non-dilutive research and development funding at the earliest stages of technology development.
_x000D_
Synopsis of Program:
_x000D_
The NSF SBIR/STTR program supports moving scientific excellence and technological innovation from the lab to the market. By funding startups and small businesses, NSF hopes to build a strong national economy and stimulate the creation of novel products, services, and solutions in the private sector with potential for broad impact; strengthen the role of small business in meeting federal research and development needs; increase the commercial application of federally supported research results; and develop and increase the US workforce, especially by fostering and encouraging participation by socially and economically disadvantaged and women-owned small businesses.
_x000D_
The NSF SBIR/STTR program welcomes proposals from many topics and does not have a specific technological focus (please see website at https://seedfund.nsf.gov/portfolio/for a listing of topics and cognizant Program staff). The program is open to proposals focusing on technical and market areas not explicitly noted, and such proposals should be submitted to "Other Topics".
_x000D_
_x000D_
_x000D_
[1] R. T. Tibbetts, "NSF's three-phase program helps the small-business innovator bootstrap an idea to commercial success," inIEEE Spectrum, vol. 15, no. 10, pp. 86-86, Oct. 1978, doi: 10.1109/MSPEC.1978.6367918.
_x000D_
_x000D_
</t>
  </si>
  <si>
    <t>Human Networks and Data Science</t>
  </si>
  <si>
    <t>The Human Networks and Data Science program (HNDS) supports research that enhances understanding of human behavior by leveraging data and network science research across a broad range of topics. HNDS research will identify ways in which dynamic, distributed, or heterogeneous data can provide novel answers to fundamental questions about individual or group behavior. HNDS is especially interested in proposals that provide data-rich insights about human networks to support improved health, prosperity, and security.
_x000D_
HNDS has two tracks:
_x000D_
(1) Human Networks and Data Science   Infrastructure (HNDS-I). Infrastructure proposals will address the development of data resources and relevant analytic techniques that support fundamental Social, Behavioral and Economic (SBE) research. Successful infrastructure proposals will construct, within the financial resources provided by the award, databases or relevant analytic techniques and produce a finished product that will enable previously impossible data-intensive research in the social sciences. The databases or techniques should have significant impacts, either across multiple fields or within broad disciplinary areas, by making possible new types of data-intensive research in the SBE sciences.
_x000D_
(2) Human Networks and Data Science   Core Research (HNDS-R). Core research proposals will advance theory in a core SBE discipline by the application of data and network science methods. This includes the leveraging of large data sets with diverse spatio-temporal scales of measurement and linked qualitative and quantitative approaches, as well as multi-scale, multi-level network data and techniques of network analysis. Supported projects are expected to yield results that will enhance, expand, and transform theory and methods, and that generate novel understandings of human behavior   particularly understandings that can lead to significant societal benefits or opportunities. HNDS-R encourages core research proposals that make innovative use of NSF-supported data networks, databases, centers and other forms of scientific infrastructure including those developed by HNDS-I (formerly RIDIR) projects.</t>
  </si>
  <si>
    <t>Energy, Power, Control, and Networks</t>
  </si>
  <si>
    <t xml:space="preserve">The Energy, Power, Control, andNetworks (EPCN) Program supports innovative research in modeling, optimization, learning, adaptation, and control of networked multi-agent systems, higher-level decision making, and dynamic resource allocation, as well as risk management in the presence of uncertainty, sub-system failures, and stochastic disturbances. EPCN also invests in novel machine learning algorithms and analysis, adaptive dynamic programming, brain-like networked architectures performing real-time learning, and neuromorphic engineering. EPCN s goal is to encourage research on emerging technologies and applications including energy, transportation, robotics, and biomedical devices   systems. EPCN also emphasizes electric power systems, including generation, transmission, storage, and integration of renewable energy sources into the grid; power electronics and drives; battery management systems; hybrid and electric vehicles; and understanding of the interplay of power systems with associated regulatory   economic structures and with consumer behavior.
_x000D_
Areas managed by Program Directors (please contact Program Directors listed in the EPCN staff directory for areas of interest):
_x000D_
Control Systems
_x000D_
_x000D_
Distributed Control and Optimization_x000D_
Networked Multi-Agent Systems_x000D_
Stochastic, Hybrid, Nonlinear Systems_x000D_
Dynamic Data-Enabled Learning, Decision and Control_x000D_
Cyber-Physical Control Systems_x000D_
Applications (Biomedical, Transportation, Robotics)_x000D_
_x000D_
Energy and Power Systems
_x000D_
_x000D_
Solar, Wind, and Storage Devices Integration with the Grid_x000D_
Monitoring, Protection and Resilient Operation of Grid_x000D_
Power Grid Cybersecurity_x000D_
Market design, Consumer Behavior, Regulatory Policy_x000D_
Microgrids_x000D_
Energy Efficient Buildings and Communities_x000D_
_x000D_
Power Electronics Systems
_x000D_
_x000D_
Advanced Power Electronics and Electric Machines_x000D_
Electric and Hybrid Electric Vehicles_x000D_
Energy Harvesting, Storage Devices and Systems_x000D_
Innovative Grid-tied Power Electronic Converters_x000D_
_x000D_
Learning and Adaptive Systems 
_x000D_
_x000D_
Neural Networks_x000D_
Neuromorphic Engineering Systems_x000D_
Data analytics and Intelligent Systems_x000D_
Machine Learning Algorithms, Analysis and Applications_x000D_
</t>
  </si>
  <si>
    <t>Program Year 2023 Planning Guidance for National Farmworker Jobs Program Career Services and Training Grantees</t>
  </si>
  <si>
    <t>Others (see text field entitled "Additional Information on Eligibility" for clarification) Eligible applicants are only current National Farmworker Jobs Program (NFJP) grantees for Career Services and Training grants.</t>
  </si>
  <si>
    <t>Questions regarding this Training and Employment Guidance Letter may be emailed to Porter.Sharon.d@dol.gov. Â Â </t>
  </si>
  <si>
    <t>EPSCoR Collaborations for Optimizing Research Ecosystems Research Infrastructure Improvement Program</t>
  </si>
  <si>
    <t>Others (see text field entitled "Additional Information on Eligibility" for clarification) *Who May Submit Proposals: Proposals may only be submitted by the following:
  - _x000D_
 Institutions or organizations in jurisdictions that meet the EPSCoR a href= criteria and that are without a collaborating role in a current or potentially pending EPSCoR RII Track-1 award unless the current EPSCoR RII Track-1 award is in its final year._x000D_
 _x000D_
 Institutions of higher education (PhD-granting and non-PhD-granting), acting on behalf of their faculty members, that are accredited in and have a campus in the United States, its territories, or possessions. Distinct academic campuses within multi-campus systems (e.g., campuses that award their own degrees and have independent administrative structures, admissions policies, and alumni associations) qualify as separate submission-eligible institutions. Campuses that plan to submit a proposal through the Sponsored Projects Office of other campuses or organizations should contact NSF EPSCoR to discuss eligibility as early as possible and at least six weeks before submitting such a proposal. _x000D_
 Non-profit, non-degree-granting domestic U.S. organizations, acting on behalf of their employees, that include (but are not limited to) independent museums and science centers, observatories, research laboratories, professional societies, and similar organizations that are directly associated with the Nation s research or educational activities. These organizations must have an independent, permanent administrative organization (e.g., an office of sponsored research) located in the United States, its territories, or possessions, and have 501(c)(3) tax status. _x000D_
 Tribal Governments with the governing body of any Indian or Alaska Native tribe, band, nation, pueblo, village, or community that the Secretary of the Interior acknowledges to exist as an Indian tribe under the Federally Recognized Indian Tribe List Act of 1994 (25 U.S.C. 479a, et seq.) or Indigenous communities that are not recognized by the Federally Recognized Indian Tribe List Act of 1994 (25 U.S.C. 479a, et seq.). _x000D_
 _x000D_
 _x000D_
 _x000D_
E-CORE RII submissions should be multi-institutional or multi-organizational, with a lead institution/organization and additional collaborating partner(s), which may include academic and non-academic organizations. Collaborations must be indicative of building or enhancing research infrastructure core(s) within the jurisdiction and an inclusive jurisdiction-wide network that is able to connect major research efforts and individuals in the jurisdiction s research ecosystem.
_x000D_
It is encouraged that the lead institution/organization or at least one collaborative partner be an institution from one of the categories below:
_x000D_
 _x000D_
 Emerging Research Institutions as defined in  a href= 42  USC 18901  as institutions of higher education with an established undergraduate or graduate program that have less than $50,000,000 in Federal research expenditures; _x000D_
 Minority-serving institutions, including Historically Black Colleges and Universities (HBCUs), Hispanic-serving institutions (HSIs), Tribal Colleges or Universities (TCUs), and other institutions that enroll a significant percentage of students from underrepresented populations as a title=  href= by the U.S. Department of Education (e.g., Alaska Native-serving institutions, Native Hawaiian-serving institutions, Predominantly Black Institutions, Asian American and Native American Pacific Islander-serving institutions, and Native American-serving non-tribal institutions); _x000D_
 Primarily Undergraduate Institutions (PUIs), including</t>
  </si>
  <si>
    <t>The Established Program to Stimulate Competitive Research (EPSCoR) fulfills the mandate of the National Science Foundation (NSF) to promote scientific progress nationwide. Through this program, NSF facilitates the establishment of partnerships among academic institutions, government, industry, and non-profit sectors that are designed to promote sustainable improvements in the research infrastructure, Research and Development (R D) capacity, and R D competitiveness of EPSCoR-eligible jurisdictions (i.e., states, territories, and commonwealths).
_x000D_
The E-CORE RII program supports jurisdictions in building capacity in one or more targeted research infrastructure cores that underlie the jurisdiction's research ecosystem. Based on the evidence-based and self-identified need of the jurisdiction, capacity building supported by E-CORE RII may include (but is not limited to) development, enhancement, and/or sustainability of: jurisdiction-wide research administration; research facilities; higher education pathways; STEM education (K-16) pathways; broadening participation; workforce development; national and global partnerships; community engagement and outreach; economic development and use-inspired research; and/or early career research trainee pathways. E-CORE RII projects must be designed to support the sustainability of the infrastructure core(s) beyond the award period.In E-CORE RII s support of one or more research infrastructure cores in an EPSCoR-eligible jurisdiction, the program will also support the development and growth of new jurisdictional networks, and the leveraging of existing jurisdictional networks, that can drive demonstrable and sustainable impact to advance the jurisdiction-wide research ecosystem.
_x000D_
Through the fostering of STEM research ecosystems and research capacity pathways across institution types and sectors in a jurisdiction, E-CORE RII aims to support jurisdiction-wide research infrastructure cores based on jurisdictional variability. A jurisdiction s science, technology, engineering, and mathematics (STEM) research ecosystem encompasses all new and ongoing interactions among its research environment, researchers, stakeholders, and STEM research activities to improve knowledge, or contribute to end-use or societal impacts in the jurisdiction.</t>
  </si>
  <si>
    <t>EPSCoR Research Incubators for STEM Excellence Research Infrastructure Improvement</t>
  </si>
  <si>
    <t>Others (see text field entitled "Additional Information on Eligibility" for clarification) *Who May Submit Proposals: Proposals may only be submitted by the following:
  - ul type= _x000D_
 Institutions or organizations in jurisdictions that meet the EPSCoR a href= criteria and that are without a collaborating role in a current or potentially pending EPSCoR RII Track-1 award unless the current EPSCoR RII Track-1 award is in its final year, or have an awarded or pending EPSCoR Collaborations for Optimizing Research Ecosystems (E-CORE RII) proposal from any eligible entity within the jurisdiction._x000D_
 ul type= _x000D_
 Institutions of higher education (PhD-granting and non-PhD-granting), acting on behalf of their faculty members, that are accredited in and have a campus in the United States, its territories, or possessions. Distinct academic campuses within multi-campus systems (e.g., campuses that award their own degrees and have independent administrative structures, admissions policies, and alumni associations) qualify as separate submission-eligible institutions. Campuses that plan to submit a proposal through the Sponsored Projects Office of other campuses or organizations should contact NSF EPSCoR to discuss eligibility as early as possible and at least six weeks before submitting such a proposal. _x000D_
 Non-profit, non-degree-granting domestic U.S. organizations, acting on behalf of their employees, that include (but are not limited to) independent museums and science centers, observatories, research laboratories, professional societies, and similar organizations that are directly associated with the Nation s research or educational activities. These organizations must have an independent, permanent administrative organization (e.g., an office of sponsored research) located in the United States, its territories, or possessions, and have 501(c)(3) tax status. _x000D_
 Tribal Governments with the governing body of any Indian or Alaska Native tribe, band, nation, pueblo, village, or community that the Secretary of the Interior acknowledges to exist as an Indian tribe under the Federally Recognized Indian Tribe List Act of 1994 (25 U.S.C. 479a, et seq.) or Indigenous communities that are not recognized by the Federally Recognized Indian Tribe List Act of 1994 (25 U.S.C. 479a, et seq.). _x000D_
 _x000D_
 _x000D_
 _x000D_
E-RISE RII submissions should be multi-institutional or multi-organizational, with a lead institution/organization and additional collaborating partner(s), which may include academic and non-academic organizations. E-RISE RII collaborations must be indicative of building an inclusive jurisdiction-wide network of expertise in the chosen research topic.
_x000D_
It is encouraged that the lead institution/organization or at least one collaborative partner be an institution from one of the categories below:
_x000D_
 ul type= _x000D_
 Emerging Research Institutions as defined in  a href= 42  USC 18901  as institutions of higher education with an established undergraduate or graduate program that have less than $50,000,000 in Federal research expenditures; _x000D_
 Minority-serving institutions, including Historically Black Colleges and Universities (HBCUs), Hispanic-serving institutions (HSIs), Tribal Colleges or Universities (TCUs), and other institutions that enroll a significant percentage of students from underrepresented populations as a title=  href= by the U.S. Department of Education (e.g., Alaska Native-serving institutions, Native Hawaiian-serving institutions, Predominantly Black Institutions, Asian American and Native American Pacific Islander-serving institutions, and Native American-serving non-tribal institutions</t>
  </si>
  <si>
    <t>The Established Program to Stimulate Competitive Research (EPSCoR) fulfills the mandate of the National Science Foundation (NSF) to promote scientific progress nationwide. NSF EPSCoR facilitates the establishment of partnerships among academic institutions, government, industry, and non-profit sectors that are designed to promote sustainable improvements in the research infrastructure, Research and Development (R D) capacity, and R D competitiveness of EPSCoR-eligible jurisdictions (i.e., states, territories, and commonwealths).
_x000D_
The E-RISE RII program supports the incubation of research teams and products in a scientific topical area that links to research priorities identified in the submitting jurisdiction s approved Science and Technology (S T) Plan. E-RISE RII invites innovative proposals that will lead to development and implementation of sustainable broad networks of individuals, institutions, and organizations that will transform the science, technology, engineering and mathematics (STEM) research capacity and competitiveness in a jurisdiction within the chosen field of research. E-RISE RII projects must be designed to incubate (i) areas of research capacity building within a chosen research topic; (ii) development of a skilled workforce that is relevant to the project and its outcomes; (iii) promotion of diversity, equity, access, and a culture of inclusion of different types of academic institutions (see below) and non-academic sectors (e.g., industry and government); (iv) integration of the research with societal impacts in a timebound manner; and (v) sustainability of a clear pathway towards preserving the resulting research incubator's team and products beyond E-RISE RII funding.</t>
  </si>
  <si>
    <t>Green and Resilient Retrofit Program (GRRPE) Elements MODIFICATION FY24</t>
  </si>
  <si>
    <t>Unrestricted (i.e., open to any type of entity above), subject to any clarification in text field entitled "Additional Information on Eligibility" An entity is an Eligible Applicant and may apply under this NOFO if it:1. Owns a property that is assisted under one of the following forms of assistance contract with HUD:Properties assisted by the following types of Section 8 Project-Based Rental Assistance (PBRA) Housing Assistance Payments (HAP) Contracts:New ConstructionState Housing Agencies ProgramSubstantial RehabilitationSection 202/8Rural Housing Services Section 515/8 (including Section 8 Farmer Home Administration (FmHA))Loan Management Set-Aside (LMSA)Property Disposition Set-Aside (PDSA)Rental Assistance Demonstration (RAD) PBRA Contracts executed on or before September 30, 2021Pension Fund PBRA Contracts executed on or before September 30, 2021.Properties assisted under Section 202 of the Housing Act of 1959 (12 U.S.C. 1701q) and Section 202 of the Housing Act of 1959 (former 12 U.S.C. 1701q), as such section existed before the enactment of the Cranston-Gonzalez National Affordable Housing Act ( Section 202 ), including:Section 202/162 Project Assistance Contract (PAC)Section 202 Capital Advance (commonly known as  Section 202 Project Rental Assistance Contract  (PRAC) properties)Section 202 Direct Loans (commonly known as  Pre-1974 Section 202 Direct Loan  properties)Properties assisted under Section 811 of the Cranston-Gonzalez National Affordable Housing Act (42 U.S.C. 8013) ( Section 811 ), including:Section 811 Capital Advance (commonly known as  Section 811 Project Rental Assistance Contract  (PRAC) properties)Section 811 Project Rental Assistance (PRA)Properties assisted under Section 236 of the National Housing Act (12 U.S.C. 1715z-1) which are receiving Section 236 Interest Reduction Payments (IRP)2. Has a signed purchase agreement, purchase option, or an agreement or option to enter into a long-term ground leasehold interest (more than 50 years) for a property assisted under the programs listed above, provided that A) the applicant submits a consent to the application executed by the owner; B) at the time of any request by HUD for confirmation between the date of application and the financial closing, the purchase has either been consummated or the purchase agreement or purchase option remains valid; and C) the applicant or its assignee is the legal owner of the property at the point of Closing as defined in Housing Notice H 2023-05 as amended. Individuals, foreign entities, and sole proprietorship organizations are not eligible to compete for, or receive, awards made under this announcement.</t>
  </si>
  <si>
    <t>The Green and Resilient Retrofit Program (GRRP) is authorized and funded by Section 30002 of the Inflation Reduction Act of 2022, (Public Law 117-169)  (the â€œIRAâ€), titled â€œImproving Energy Efficiency or Water Efficiency or Climate Resilience of Affordable Housing.â€ The program seeks to amplify recent technological advancements in utility efficiency and energy generation, bring a new focus on preparing for climate hazards by reducing residentsâ€™ and propertiesâ€™ exposure to hazards, and protecting life, livability, and property when disaster strikes. GRRP is the first HUD program to simultaneously invest in energy efficiency, energy generation, and climate resilience strategies specifically in HUD-assisted multifamily housing. All of the investments under the GRRP will be made in affordable housing communities serving low-income families in alignment with the Administrationâ€™s Justice 40 goals.HUD is offering GRRP funding through three separate cohorts designed to meet the different needs of HUDâ€™s assisted multifamily portfolio. Round One of the GRRP consists of three cohorts of awards, implemented through three parallel Notices of Funding Opportunity (NOFOs):The Elements NOFO provides modest awards designed to add proven and highly impactful climate resilience and carbon reduction measures to the construction scopes of in-progress recapitalization transactions.The Leading Edge NOFO provides funding to Owners aiming to quickly meet ambitious carbon reduction and resilience goals without requiring extensive collaboration with HUD.The Comprehensive NOFO provides funding to initiate recapitalization investments designed from inception around deep retrofits, focused on innovative energy efficiency and greening measures, renewable energy generation, use of structural building materials with lower embodied carbon, and climate resilience investments. Comprehensive Awards are designed for the widest range of properties, including those that have not yet developed a recapitalization plan.To the greatest extent feasible, these approaches will:Substantially improve energy and water efficiency, including moving properties toward net zero, zero energy ready, or zero over time energy performance; /Address climate resilience, including synergies that can be achieved between efficiency and resilience investments;Enhance indoor air quality and resident health;Implement the use of zero-emission electricity generation and energy storage;Minimize embodied carbon and incorporate low-emission building materials or processes; andSupport building electrification.</t>
  </si>
  <si>
    <t>Green and Resilient Retrofit Program (GRRPL) Leading Edge Modification FY24</t>
  </si>
  <si>
    <t>Unrestricted (i.e., open to any type of entity above), subject to any clarification in text field entitled "Additional Information on Eligibility" An entity is an Eligible Applicant and may apply under this NOFO if it:1. Owns a property that is assisted under one of the following forms of assistance contract with HUD:Properties assisted by the following types of Section 8 Project-Based Rental Assistance (PBRA) Housing Assistance Payments (HAP) Contracts:New ConstructionState Housing Agencies ProgramSubstantial RehabilitationSection 202/8Rural Housing Services Section 515/8 (including Section 8 Farmer Home Administration (FmHA))Loan Management Set-Aside (LMSA)Property Disposition Set-Aside (PDSA)Rental Assistance Demonstration (RAD) PBRA Contracts executed on or before September 30, 2021Pension Fund PBRA Contracts executed on or before September 30, 2021.Properties assisted under Section 202 of the Housing Act of 1959 (12 U.S.C. 1701q) and Section 202 of the Housing Act of 1959 (former 12 U.S.C. 1701q), as such section existed before the enactment of the Cranston-Gonzalez National Affordable Housing Act ( Section 202 ), including:Section 202/162 Project Assistance Contract (PAC)Section 202 Capital Advance (commonly known as  Section 202 Project Rental Assistance Contract  (PRAC) properties)Section 202 Direct Loans (commonly known as  Pre-1974 Section 202 Direct Loan  properties)Properties assisted under Section 811 of the Cranston-Gonzalez National Affordable Housing Act (42 U.S.C. 8013) ( Section 811 ), including:Section 811 Capital Advance (commonly known as  Section 811 Project Rental Assistance Contract  (PRAC) properties)Section 811 Project Rental Assistance (PRA)Properties assisted under Section 236 of the National Housing Act (12 U.S.C. 1715z-1) which are receiving Section 236 Interest Reduction Payments (IRP)2. Has a signed purchase agreement, purchase option, or an agreement or option to enter into a long-term ground leasehold interest (more than 50 years) for a property assisted under the programs listed above, provided that A) the applicant submits a consent to the application executed by the owner; B) at the time of any request by HUD for confirmation between the date of application and the financial closing, the purchase has either been consummated or the purchase agreement or purchase option remains valid; and C) the applicant or its assignee is the legal owner of the property at the point of Closing as defined in Housing Notice H 2023-05 as amended.  Individuals, foreign entities, and sole proprietorship organizations are not eligible to compete for, or receive, awards made under this announcement.</t>
  </si>
  <si>
    <t>The Green and Resilient Retrofit Program (GRRP) is authorized and funded by Section 30002 of the Inflation Reduction Act of 2022, (Public Law 117-169)  (the â€œIRAâ€), titled â€œImproving Energy Efficiency or Water Efficiency or Climate Resilience of Affordable Housing.â€ The program seeks to amplify recent technological advancements in utility efficiency and energy generation, bring a new focus on preparing for climate hazards by reducing residentsâ€™ and propertiesâ€™ exposure to hazards, and protecting life, livability, and property when disaster strikes. GRRP is the first HUD program to simultaneously invest in energy efficiency, energy generation, and climate resilience strategies specifically in HUD-assisted multifamily housing. All of the investments under the GRRP will be made in affordable housing communities serving low-income families in alignment with the Administrationâ€™s Justice 40 goals.HUD is offering GRRP funding through three separate cohorts designed to meet the different needs of HUDâ€™s assisted multifamily portfolio. Round One of the GRRP consists of three cohorts of awards, implemented through three parallel Notices of Funding Opportunity (NOFOs):The Elements NOFO provides modest awards designed to add proven and highly impactful climate resilience and carbon reduction measures to the construction scopes of in-progress recapitalization transactions.The Leading Edge NOFO provides funding to Owners aiming to quickly meet ambitious carbon reduction and resilience goals without requiring extensive collaboration with HUD.The Comprehensive NOFO provides funding to initiate recapitalization investments designed from inception around deep retrofits, focused on innovative energy efficiency and greening measures, renewable energy generation, use of structural building materials with lower embodied carbon, and climate resilience investments. Comprehensive Awards are designed for the widest range of properties, including those that have not yet developed a recapitalization plan.To the greatest extent feasible, these approaches will:Substantially improve energy and water efficiency, including moving properties toward net zero, zero energy ready, or zero over time energy performance;Address climate resilience, including synergies that can be achieved between efficiency and resilience investments;Enhance indoor air quality and resident health;Implement the use of zero-emission electricity generation and energy storage;Minimize embodied carbon and incorporate low-emission building materials or processes; andSupport building electrification.</t>
  </si>
  <si>
    <t>Green and Resilient Retrofit Program (GRRPC) Comprehensive - MODIFICATION FY24</t>
  </si>
  <si>
    <t>The Green and Resilient Retrofit Program (GRRP) is authorized and funded by Section 30002 of the Inflation Reduction Act of 2022, (Public Law 117-169)  (the â€œIRAâ€), titled â€œImproving Energy Efficiency or Water Efficiency or Climate Resilience of Affordable Housing.â€ The program seeks to amplify recent technological advancements in utility efficiency and energy generation, bring a new focus on preparing for climate hazards by reducing residentsâ€™ and propertiesâ€™ exposure to hazards, and protecting life, livability, and property when disaster strikes. GRRP is the first HUD program to simultaneously invest in energy efficiency, energy generation, and climate resilience strategies specifically in HUD-assisted multifamily housing. All of the investments under the GRRP will be made in affordable housing communities serving low-income families in alignment with the Administrationâ€™s Justice 40 goals.HUD is offering GRRP funding through three separate cohorts designed to meet the different needs of HUDâ€™s assisted multifamily portfolio. Round One of the GRRP consists of three cohorts of awards, implemented through three parallel Notices of Funding Opportunity (NOFOs):The Elements NOFO provides modest awards designed to add proven and highly impactful climate resilience and carbon reduction measures to the construction scopes of in-progress recapitalization transactions.The Leading Edge NOFO provides funding to Owners aiming to quickly meet ambitious carbon reduction and resilience goals without requiring extensive collaboration with HUD.The Comprehensive NOFO provides funding to initiate recapitalization investments designed from inception around deep retrofits, focused on innovative energy efficiency and greening measures, renewable energy generation, use of structural building materials with lower embodied carbon, and climate resilience investments. Comprehensive Awards are designed for the widest range of properties, including those that have not yet developed a recapitalization plan.To the greatest extent feasible, these approaches will:Substantially improve energy and water efficiency, including moving properties toward net zero, zero energy ready, or zero over time energy performance; Address climate resilience, including synergies that can be achieved between efficiency and resilience investments;Enhance indoor air quality and resident health;Implement the use of zero-emission electricity generation and energy storage;Minimize embodied carbon and incorporate low-emission building materials or processes; andSupport building electrification.</t>
  </si>
  <si>
    <t>BRAIN Initiative: Development of Novel Tools to Probe Cell-Specific and Circuit-Specific Processes in Human and Non-Human Primate Brain (UG3/UH3 Clinical Trial Optional)</t>
  </si>
  <si>
    <t>Reissue of RFA-MH-22-115 to comply with DMSP policy. The purpose of this Brain Research through Advancing Innovative Neurotechnologies (BRAIN) Initiative is to encourage applications that will develop and validate novel tools to facilitate the detailed analysis and manipulation of complex circuits and provide insights into cellular interactions that underlie brain function. Critical advances in the treatment of brain disorders in human populations are hindered by our lack of ability to monitor and manipulate circuitry in safe, minimally-invasive ways.  Clinical intervention with novel cell and circuit specific tools will require extensive focused research designed to remove barriers to delivery of gene therapies.  In addition to identification and removal of barriers, the need to specifically target dysfunctional circuitry poses additional challenges.  Neuroscience has experienced an impressive influx of exciting new research tools in the past decade, especially since the launch of the BRAIN Initiative.  However, the majority of these cutting edge tools have been developed for use in model organisms, primarily rodents, fish and flies. These cutting edge tools, such as viral delivery of genetic constructs, are increasingly adaptable to large brains and more importantly are emerging as potential human therapeutic strategies for brain disorders. A pressing need to develop tools for use in large brains, more directly relevant to the human brain is the focus of this initiative.  The new tools and technologies should inform and/or exploit cell-type and/or circuit-level specificity. Plans for validating the utility of the tool/technology will be an essential feature of a successful application.</t>
  </si>
  <si>
    <t>Research Training Groups in the Mathematical Sciences</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</si>
  <si>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Eligible Participants: Participating undergraduates, graduate students, and postdoctoral associates supported with NSF funds in RTG must be citizens, nationals, or permanent residents of the United Statesor its territories and possessions. No citizenship requirement applies to Principal Investigators.</t>
  </si>
  <si>
    <t>The long-range goal of the Research Training Groups in the Mathematical Sciences (RTG) program is to strengthen the nation's scientific competitiveness by increasing the number of well-prepared U.S. citizens, nationals, and permanent residents who pursue careers in the mathematical sciences, be they in academia, government, or industry. The RTG program supports efforts to improve research training by involving undergraduate students, graduate students, postdoctoral associates, and faculty members in structured research groups pursuing coherent research programs. Research groups supported by RTG must include vertically-integrated activities that span the entire spectrum of educational levels from undergraduates through postdoctoral associates.</t>
  </si>
  <si>
    <t>USAID Climate Resilient Agriculture in the Mekong Delta</t>
  </si>
  <si>
    <t>USAID-VIE</t>
  </si>
  <si>
    <t>USAID-VIETNAM</t>
  </si>
  <si>
    <t>The United States Agency for International Development in Vietnam (USAID/Vietnam) is seeking applications from qualified entities to implement the USAID Climate Resilient Agriculture in the Mekong Delta. The goal of the Activity is to advance low-emissions, climate-resilient agricultural livelihoods combined with biodiversity conservation to support carbon sequestration, healthy ecosystems, and resilience of vulnerable communities in the Mekong Delta.</t>
  </si>
  <si>
    <t>BRAIN Initiative:  Exploratory Team-Research BRAIN Circuit Programs - eTeamBCP (U01 Clinical Trials Optional)</t>
  </si>
  <si>
    <t>County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eligible to apply.
Foreign components, as defined in the NIH Grants Policy Statement, are allowed.</t>
  </si>
  <si>
    <t>Reissue of RFA-NS-22-028 to comply with DMSP - No new dates are being added. Reissue of:RFA-NS-18-029 and RFA-NS-20-029. This funding opportunity announcement (FOA) is designed to support teams of investigators that seek to cross boundaries of interdisciplinary collaboration to elucidate the contributions of dynamic circuit activity to a specific behavioral or neural system. Applications are encouraged to propose adventurous and challenging goals that can only be tackled by a synergistic team-based approach and have the potential to be transformative and/or to enable significant advances. These studies at the exploratory stage are intended for the development of experimental capabilities and/or theoretical frameworks in preparation for a future competition for larger-scale or extended efforts, including the BRAIN TargetedBCP R01 or the multi-component, Team-Research BRAIN Circuit Programs (U19).
The overall goal of this FOA is to enable a large-scale analysis of neural systems and circuits within the context and during the simultaneous measurement of an ethologically relevant behavior. Toward this end, teams are expected to assemble and leverage multi-disciplinary expertise, and to integrate experimental with computational and theoretical approaches. Teams are expected to bridge fields by incorporating rich information on cell-types, on circuit functionality and connectivity, in conjunction with sophisticated analyses of an ethologically relevant behavior of an organism or a well-defined neural system. Teams are also expected to aim for a mechanistic understanding of the circuits of the central nervous system (CNS) by applying cutting-edge methods such as those for large-scale recording, manipulation, and analysis of neural circuits across multiple regions of the CNS.</t>
  </si>
  <si>
    <t>FY 2023 Disaster Supplemental</t>
  </si>
  <si>
    <t>DOC-EDA</t>
  </si>
  <si>
    <t>Economic Development Administration</t>
  </si>
  <si>
    <t>County governments District Organization; Indian Tribe or a consortium of Indian Tribes; State, county, city, or other political subdivision of a State, including a special purpose unit of a State or local government engaged in economic or infrastructure development activities, or a consortium of political subdivisions; Institution of higher education or a consortium of institutions of higher education; or Public or private non-profit organization or association acting in cooperation with officials of a political subdivision of a State. The project of an eligible applicant must be able to meet area eligibility requirements to be considered for funding under this Disaster Supplemental NOFO. Such eligibility is predicated upon the project being located in or primarily serving one or more communities impacted by Hurricanes Ian and Fiona, and of wildfires, flooding, and other natural disasters occurring in calendar years 2021 and 2022. More specifically, consistent with 13 C.F.R. parts 301 and 307, EDA will determine area eligibility pursuant to the applicable Federal disaster declaration under the Stafford Act, and the Federal Emergency Management Agency (FEMA) designation of areas as eligible for public assistance or individual assistance due to the declared disasters listed on FEMA s website (www.fema.gov/disaster/). For construction projects (including design and engineering), the project must be located within an eligible county. For non-construction projects, the project s scope of work must primarily benefit eligible counties, and stakeholders representing those eligible counties must be directly engaged in the project.</t>
  </si>
  <si>
    <t xml:space="preserve">Subject to the availability of funds, awards made under this NOFO will help communities and regions devise and implement long-term economic recovery strategies through a variety of non-construction and construction projects, as appropriate, to address economic challenges in areas where a Presidential declaration of a major disaster was issued under the Robert T. Stafford Disaster Relief and Emergency Assistance Act (42 U.S.C. Â§ 5121 et seq.) (Stafford Act) â€œas a result of Hurricanes Ian and Fiona, and of wildfires, flooding, and other natural disasters occurring in calendar years 2021 and 2022â€¦.â€
EDA is excited to announce the launch of its new grants management platform: the Economic Development Grants Experience (EDGE). EDGE was developed to streamline the application and grants management process by implementing a single platform with increased transparency, improved user experience, higher data quality, and more efficiency throughout the entire grant lifecycle. 
Starting April 6, 2023, applications will no longer be accepted on Grants.gov, and will ONLY be accepted through EDGE (sfgrants.eda.gov). To apply for the FY 2023 Disaster Supplemental NOFO, please access the portal here. More information on how to apply is provided in the full NOFO. </t>
  </si>
  <si>
    <t>Cultural Anthropology Program Senior Research Awards</t>
  </si>
  <si>
    <t>The primary objective of the Cultural Anthropology Program is to support fundamental, systematic anthropological research and training to increase understanding of the causes, consequences and complexities of human social and cultural variability. The Cultural Anthropology Program welcomes proposals from researchers in all sub-fields of cultural anthropology and research at any temporal or spatial scale. Methodologies and approaches employed may include ethnographic field research, surveys, remote sensing, the collection of bio-markers, experimental research inside or outside of laboratory settings, archival research, the analysis of materials collections and extant data bases, mathematical and computational modeling and other research tools as appropriate for the proposed research. The overarching research goals should be to produce empirically grounded findings that will be generalizable beyond particular case studies and contribute to building a more robust anthropological science of human society and culture.
_x000D_
The National Science Foundation's mandate is to support basic scientific research. Basic research in cultural anthropology means theory-generating and theory-testing research that creates new knowledge about human culture and society. Therefore, the Cultural Anthropology Program cannot support research that takes as its primary objective improved clinical practice, applied policy or other immediate application. Research that seeks to advance scientific cultural anthropological theories in a way that advances use-inspired objectives may be supported, but the theory-advancing objectives must be clearly at the center of the proposal. A proposal to use anthropological methods and approaches only to find solutions to social, medical or other problems without specifically proposing to make a theory-testing or theory-expanding contribution to anthropological science will be returned without review.</t>
  </si>
  <si>
    <t>Infrastructure Capacity for Biological Research</t>
  </si>
  <si>
    <t>The Infrastructure Capacity for Biological Research (Capacity) Program supports the implementation of, scaling of, or major improvements to research tools, products, and services that advance contemporary biology in any research area supported by the Directorate forBiological Sciences at NSF. The Capacity Program focuses on building capacity in research infrastructure that is broadly applicable to a wide range of researchers in three programmatic areas: Cyberinfrastructure, Biological Collections, and Biological Field Stations and Marine Laboratories. This program will also accept proposals for planning activities or workshops to facilitate coordination that may be necessary in building capacity in infrastructure that meets the needs of a research community. Areas not included in this program are instrumentation (PIs should submit to the MRI program) and, projects that develop infrastructure for a specific research project, laboratory, or institution (PIs should submitted to the relevant BIO programs that would normally support that research). Projects are expected to produce quality products, result in important science outcomes that will be achieved by the users of the resource, be openly accessible to a broad scientific and education community, and serve a community of researchers beyond a single research team.</t>
  </si>
  <si>
    <t>Infrastructure Innovation for Biological Research</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</si>
  <si>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There are no restrictions or limits.</t>
  </si>
  <si>
    <t>The Infrastructure Innovation for Biological Research Program (Innovation) supports research to design novel or greatly improved research tools and methods that advance contemporary biology in any research area supported by the Directorate forBiological Sciences at NSF. The Innovation Program focuses on research infrastructure that is broadly applicable to researchers in three programmatic areas: Bioinformatics, Instrumentation, and Research Methods. Infrastructure supported by this program is expected to advance biological understanding by improving scientists  abilities to manipulate, control, analyze, or measure critical aspects of biological systems, which can be essential for addressing important fundamental research questions. Proposals submitted to these programmatic areas can do one of three things to advance or transform research in biology: develop novel infrastructure, significantly redesign existing infrastructure, or adapt existing infrastructure in novel ways. Projects are expected to have a significant application to one or more biological science questions and have the potential to be used by a community of researchers beyond a single research team.
_x000D_
Please refer to the descriptions of individual programmatic areas for detailed guidance on what is supported through this solicitation (see links below).</t>
  </si>
  <si>
    <t>Cancer Immunoprevention Network (CIP-Net) ?Research Projects (UG3/UH3 Clinical Trials Not Allowed)</t>
  </si>
  <si>
    <t>Private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</si>
  <si>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purpose of the Cancer Immunoprevention Network (CIP-Net) is to support a deeper understanding of basic mechanisms of immunoprevention, discover novel immunoprevention strategies, and foster a community of cancer immunoprevention researchers.  ?The UG3/UH3 research projects will enable de novo discovery of immune pathways, immunoprevention mechanisms, or investigation of new vaccine or immunomodulatory targets or agents. Applicants responding to this FOA must apply for both the UG3 and UH3 phases together in a single application.  Achievement of the UG3 milestones will be necessary for transition to the UH3 phase. UH3 phase may be awarded after administrative review of the UG3 milestones. Provided these milestones are achieved, UH3 phase may continue.</t>
  </si>
  <si>
    <t>Combustion and Fire Systems</t>
  </si>
  <si>
    <t>TheCombustion and Fire Systemsprogram is part of the Transport Phenomena cluster, which also includes 1) theFluid Dynamicsprogram; 2) theParticulate and Multiphase Processesprogram; and 3) theThermal Transport Processesprogram.
_x000D_
The goal of theCombustion and Fire Systemsprogram is tocreate new knowledge to support advances in clean energy, climate change mitigation, a cleaner environment and public safety.
_x000D_
The program endeavors to createfundamental scientific knowledge that is needed for safe, clean and useful combustion applications and for mitigating the effects of fire.The program aims to identify and understand the controlling basic principles and to use that knowledge to create predictive capabilities for designing and optimizing practical combustion devices and understanding fire.
_x000D_
Important outcomesfor this program include:
_x000D_
_x000D_
broad-based tools   experimental, theoretical, andcomputational   that can be applied to a variety of problems in combustion technologies and fire;_x000D_
science and technology for clean and efficient generation of power;_x000D_
discoveries that enable clean environments (for example, by reduction in combustion-generated pollutants); and_x000D_
enhanced public safety and climate change mitigation through research on wildland and building fire growth, inhibition, and suppression._x000D_
_x000D_
Research areas of interest for this program include:
_x000D_
_x000D_
Basic combustion science: Combustion of gas, liquid, and solid fuels over abroad range of temperatures, pressures, and compositions; combustion at supercritical conditions; advanced propulsion concepts; flame synthesis ofmaterials; integration of fuel design and combustion; control of reaction pathways; development of chemical kinetics models, analytical and numerical predictive methods, and advanced diagnostic tools._x000D_
Combustionscience related to clean energy: Increasing efficiency and reducing pollution; production and use of renewable and/or carbon-free fuels; biomass pyrolysis, gasification, and oxidation; technologies such as oxy-fuel combustion and chemical looping combustion for carbon capture._x000D_
Fireprevention: Improved understanding of building and wildland fires to prevent their spread, inhibit their growth, and suppress them; prediction and mitigation of fires in the wildland-urban interface._x000D_
Turbulence-chemistry interactions:Fundamental understanding of turbulent flow interactions with finite-rate chemical kinetic pathways at high Reynolds and Karlovitz number conditions, including but not limited to: (1) fundamental experiments to generate physico-chemical data to reduce theuncertainty of combustion chemistry and turbulent combustion models; (2)spatially/temporally well-resolved, multi-scale/multi-physics computations;novel approaches of developing embedded multi-scale direct numericalsimulation (DNS) of complex geometries and data-assimilations forincorporating measured data from the state-of-art in situ diagnostic approaches; (3) other innovative approaches on development and validation of predictive computational methods. NOTE: This is an NSF-AFOSR (Air Force Office of Scientific Research) joint funding area. Proposals will be jointly reviewed by NSF and AFOSR using the NSF merit reviewprocess.Actual funding format and agency split for an award(depending on availabilityof funds) will be determined after the proposal selection process. The AFOSR program that participates in this initiative is the program on Energy, Combustion, and Nonequilibrium Thermodynamics._x000D_
_x000D_
Innovative proposals outside of these specific interest areas may be considered.However, prior to submission, it is recommended that the Principal Investigator contact the program director to avoid the possibility of the proposal being returned without review.
_x000D_
_x000D_
_x000D_
INFORMATION COMMON TO MOST CBET PROGRAMS
_x000D_
_x000D_
_x000D_
Proposals should address the novelty and/orpotentially transformative natureof the proposed work compared to previous work in the field.Also, it is important to address why the proposed work is important in terms of engineering science, as well as to also project the potential impact on society and/or industry of success in the research.The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encouraged.Award duration is five years.The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 (PAPPG), Part 1, Chapter II, Section E: Types of Proposals.
_x000D_
Compliance: Proposals that are not compliant with theProposal   Award Policies   Procedures Guide (PAPPG)will be returned without review.</t>
  </si>
  <si>
    <t>BRAIN Initiative: Integration and Analysis of BRAIN Initiative Data (R01 Clinical Trial Not Allowed)</t>
  </si>
  <si>
    <t>Reissue of RFA-MH-22-220 to comply with DMSP. This FOA supports the development of software to visualize and analyze the data as part of programs of building the informatics infrastructure for the BRAIN Initiative. Other informatics programs include developing data standards that are needed to describe the new experiments that are being created by or used in the BRAIN Initiative ( RFA-MH-19-146 ), and creating the data infrastructures that will house the data from multiple experimental groups ( RFA-MH-19-145 ). Each of the programs is aimed at building an infrastructure that is used by a particular sub-domain of experimentalists rather than building a single all-encompassing informatics infrastructure now. Building the infrastructure one experimental area at a time will ensure that the infrastructure is immediately useful to components of the research community. As our understanding of the brain improves, it may be possible to create linkages between these various sub-domain specific informatics programs. Investigators of the informatics programs should keep that goal in mind and build for the future even though the current efforts are more limited in scope.</t>
  </si>
  <si>
    <t>Thermal Transport Processes</t>
  </si>
  <si>
    <t>TheThermal Transport Processesprogram is part of the Transport Phenomena cluster, which alsoincludes1) theCombustion and Fire Systemsprogram; 2) theFluid Dynamicsprogram; and 3) theParticulate and Multiphase Processesprogram.
_x000D_
TheThermal Transport Processesprogram supports engineering research projects that lay the foundation for newadvances in thermal transport phenomena. These projects should either develop new fundamental knowledge or combine existing knowledge in thermodynamics, fluid mechanics, and heat and mass transfer to probe new areas of innovation in thermal transport processes. The program seeks transformative projects with the potential for improvingbasic understanding, predictability and application of thermal transport processes. Projects should articulate the contribution(s) to the fundamental knowledge supporting thermal transport processes and state clearly the potential application(s) impact when appropriate.Projects that combine analytical, experimental and numerical efforts, geared toward understanding, modeling and predicting thermal phenomena, are of great interest.Collaborative and interdisciplinary proposals for which the main contribution is in thermal transport fundamentals are also encouraged. Emphasis is placed on research that demonstrates how thermal transport phenomena affect the existence, behavior and dynamics of components and systems.Priority is given to insightful investigations of fundamental problems with clearly defined economic, environmental and societal impacts.
_x000D_
Some specific areas of interest include:
_x000D_
_x000D_
Convection/diffusion/radiation: Heat and mass transport incomplex structures and surfaces;thermal-related turbulence; development of form-functionrelationships in thermal processes; thermal design methodology; phonon transport and interactions between energy carriers; radiationamplification, controlling, and extinction; interfacial gas-solid andliquid-solid thermal and species-driven phenomena._x000D_
Thermodynamics: Thermal-electric energy conversion; battery-related thermal issues; power generation and propulsion; phase-change and supercritical energy cycles;non-equilibriumthermal processes._x000D_
Biologicalheatand mass transport: Biomimicry;intra- andextra-cellular heat and mass transport; freeze resistancemechanisms;thermotherapy and thermoregulation; organ conservation(freezing and thawing); mass transport in biomedical and health systems._x000D_
Nanothermics,microthermics,and mesothermics: Scaling upnanoscale heat transport processes or coupledheat-mass transport processes; utilization ofnew multi-functional, meta- and graded-materials in thermal transport;nano-texturingand phase-change; multi-scale thermal transport in aprocess._x000D_
Thermal solutions to climate change: Decarbonizing industrial processes; novel heating and cooling technologies with minimal greenhouse gas emissions; thermal-driven clean energy concepts; thermal and thermochemical energy storage; waste heat recovery and transmission; thermal science and technology to enable electrification of energy services._x000D_
Thermal science and quantum technology interface: Quantum sensors for thermal measurements;quantum computing for thermal sciences;thermodynamics and novel cryogenic cooling concepts for quantum devices;thermal transport in quantum materials and quantum phenomena; thermal solutions for next-generation qubits, qubit coupling, and quantum information storage._x000D_
New metrology and artificial intelligence (AI)/machinelearning methodologies in thermal sciences: Advanced thermal imagingand measurement techniques for high-resolutionin situthermal imaging and non-invasive temperature measurement; novel AI/machine learning methodologies and other data-intensive approaches that can be coupled with physics-based models and/or experiments to enable new understanding and discoveries in thermal transport processes._x000D_
_x000D_
NOTE: Proposalsincluding chemical kinetics should be submitted to the ENG/CBETCombustion and FireSystemsprogram. Proposals dealing mainly with materials synthesis, processing and characterization should be directed to the ENG/CMMIAdvanced Manufacturingprogram or the Division of Materials Research (DMR) in the Directorate for Mathematical and Physical Sciences (MPS). Proposals at the interface of computational/mathematical sciences and thermal transport are encouraged but should be submitted to theComputational and Data-Enabled Science   Engineering(CDS E) program.
_x000D_
Proposals seeking the utilization of the International Space Station U.S. National Laboratory should follow the instructions in the NSF/CASIS solicitations (e.g., NSF 22-539). Proposals related to the Air Force Office of Scientific Research (AFOSR) general area of thermal transport properties of novel materials and heterostructures should be submitted as regular proposals to theThermal Transport Processesprogram. Those proposals may be jointly reviewed by NSF and AFOSR using the NSF merit review process. Actual funding format and agency split for an award (depending on availability of funds) will be determined after the proposal selection process. Proposals related to the Department of Energy (DOE) general area of thermal and thermochemical energy storage materials and processes should be submitted as regular proposals to theThermal Transport Processesprogram. In these cases, the PI should contact the program director to confirm suitability of the topic prior to submitting the proposal. Innovative proposals outside of these specific interest areas may be considered.However, prior to submission, it is recommended that the PI contact the program director to avoid the possibility of the proposal being returned without review.
_x000D_
Innovativeproposals outside of these specific interest areas may be considered.However, prior to submission, it is recommended that the Principal Investigator contact the program director to avoid the possibility of the proposal being returned without review.
_x000D_
INFORMATION COMMON TO MOST CBET PROGRAMS
_x000D_
Proposals should address the novelty and/orpotentially transformative natureof the proposed work compared to previous work in the field.Also, it is important to address why the proposed work is important in terms of engineering science, as well as to also project the potential impact on society and/or industry of success in the research.The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encouraged.Award duration is five years.The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 (PAPPG), Part 1, Chapter II, Section E: Types of Proposals.
_x000D_
Compliance: Proposals that are not compliant with theProposal   Award Policies   Procedures Guide (PAPPG)will be returned without review.</t>
  </si>
  <si>
    <t>Particulate and Multiphase Processes</t>
  </si>
  <si>
    <t>TheParticulate and Multiphase Processesprogram is part of the Transport Phenomena cluster, which also includes 1) theCombustion and Fire Systemsprogram; 2) theFluid Dynamicsprogram; and 3) theThermal Transport Processesprogram.
_x000D_
Thegoal of theParticulate and Multiphase Processesprogram is to support fundamental research on physico-chemical phenomena that govern particulate and multiphase systems, including flow of suspensions, drops and bubbles, granular and granular-fluid flows, behavior of micro- and nanostructured fluids, unique characteristics of active fluids, and self assembly/directed-assembly processes that involve particulates.The program encourages transformative research to improve our basic understanding of particulate and multiphase processes with emphasis on research that demonstrates how particle-scale phenomena affect the behavior and dynamics of larger-scale systems.Although proposed research should focus on fundamentals, a clear vision is required that anticipates how results could benefit important applications in advanced manufacturing, energy harvesting, transport in biological systems, biotechnology, or environmental sustainability.Collaborative and interdisciplinary proposals are encouraged, especially those that involve a combination of experiment with theory and/or modeling.
_x000D_
Major research areas of interest in the program include:
_x000D_
_x000D_
Multiphase flow phenomena:Dynamics ofparticle/bubble/droplet systems,behavior of structured fluids (colloids/ferro-fluids), granular flows, rheology of multiphase systems, unique characteristics of active fluids in novel applications, and newl approaches that relate micro- and nanoscale phenomena to macroscale properties and process-levelvariables._x000D_
Particlescience and technology:Aerosols, production of particles andpolymer-particle complexes with engineered properties, self-assembly,directed assembly, and template-directed assembly of particles into functional materials and devices._x000D_
Multiphase transport in biological systems:Analysis of physiological processes, applications of functionalized nanostructures in clinical diagnostics andtherapeutics._x000D_
Interfacial transport:Dynamics of particles and macromolecules at interfaces, kinetics of adsorption and desorption of nanoparticles and surfactants and their spatial distributions at interfaces, complex molecular interactions at interfaces, formation of interfacial complexes that affect the dynamics of particles._x000D_
_x000D_
NOTE: Proposals that explore fluid-structure interactions involving electrodes in engineering applications such as energy storage should be directed to ENG/CBETElectrochemical Systemsprogram.Proposals that involve drops or bubbles bouncing off solid surfaces should be directed toward ENG/CBETFluid Dynamicsprogram. Proposals that deal with engineered surfaces forcarrying out chemical or biochemical reactions or separations should be directed to ENG/CBETInterfacial Engineeringprogram.Proposals dealing mainly with particle synthesis may be more suitable forthe ENG/CMMIAdvanced Manufacturingprogram or the Division of Materials Research (DMR) in the Mathematical and Physical Sciences (MPS) Directorate.
_x000D_
Innovative proposals outside of these specific interest areas may be considered; however, prior to submission, it is recommended that the PI contact the program director to avoid the possibility of the proposal being returned without review.
_x000D_
INFORMATION COMMON TO MOST CBET PROGRAMS
_x000D_
Proposals should address the novelty and/orpotentially transformative natureof the proposed work compared to previous work in the field.Also, it is important to address why the proposed work is important in terms of engineering science, as well as to also project the potential impact on society and/or industry of success in the research.The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encouraged.Award duration is five years.The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 (PAPPG), Part 1, Chapter II, Section E: Types of Proposals.
_x000D_
Compliance: Proposalsthat are not compliant with theProposal   Award Policies   Procedures Guide (PAPPG)will be returned without review.</t>
  </si>
  <si>
    <t>Interfacial Engineering</t>
  </si>
  <si>
    <t>The Interfacial Engineering program is part of the Chemical Process Systems cluster, which also includes: 1) the Catalysis program; 2) the Electrochemical Systems program; and 3) the Process Systems, Reaction Engineering, and Molecular Thermodynamics program.
_x000D_
The goal of the Interfacial Engineering program is to support fundamental research on atomic- and molecular-scale interfacial phenomena and engineering of interfacial properties, processes, and materials. Fundamental understanding of the thermodynamic, kinetic, and transport properties of interfacial systems underpins improvements in chemical process efficiency and resource utilization. As such, proposed research should have a clear vision for how the results will translate to practice in or otherwise advance industrial chemical or biochemical processes. The program encourages proposals that present new approaches to long-standing challenges or address emerging research areas and technologies. Collaborative and interdisciplinary proposals are also encouraged, particularly those that involve a combination of experiment with theory or modeling.
_x000D_
Major research areas of interest in the program include:
_x000D_
_x000D_
Chemical separations: Design of scalable mass separating agents (for example, sorbents and membranes); field-induced separation processes that target a significant reduction in energy and/or materials requirements_x000D_
Biological separations: Downstream processing of biologically-derived chemicals, therapeutic proteins, and biologics for increased throughput and purity; engineering interfaces for molecular recognition_x000D_
Interfacial phenomena at engineered interfaces and surfaces: Kinetics and thermodynamics of adsorption/desorption and complex interactions of molecules and ions at engineered interfaces and surfaces within chemical process systems_x000D_
Nanoconfinement and engineered surfaces: Theory, modeling, and/or approaches for examining transport and thermodynamic properties of fluids within nanopores, under nanoconfinement, or at highly engineered surfaces within chemical process systems_x000D_
_x000D_
NOTE: Studies that examine chemical reaction and transport phenomena related to electrochemical system performance, including batteries, fuel cells, flow batteries, electrochemical conversions, and related components, should be directed to the Electrochemical Systems program (CBET 7644). Studies that focus on interactions of nanomaterials and nanosystems, particularly as relevant to environmental or biological applications, may be more appropriate for the Nanoscale Interactions program (CBET 1179). Studies of how interfacial dynamics affect transport or bulk properties of multiphase systems may be more appropriate for the Particulate and Multiphase Processes program (CBET 1415). Please consult with program directors prior to submission if you have questions about programmatic fit.
_x000D_
Innovative proposals outside of these specific interest areas may be considered. The Principal Investigator is encouraged contact the Program Director prior to submission to avoid the possibility of the proposal being returned without review.
_x000D_
INFORMATION COMMON TO MOST CBET PROGRAMS
_x000D_
Proposals should address the novelty and/orpotentially transformative natureof the proposed work compared to previous work in the field.Also, it is important to address why the proposed work is important in terms of engineering science, as well as to also project the potential impact on society and/or industry of success in the research.The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principal investigator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years.The submission deadline for Engineering CAREER proposals is in July every year. Learn more in the 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 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theProposal   Award Policies   Procedures Guide(PAPPG), Part 1, Chapter II, Section E.
_x000D_
COMPLIANCE: Proposals which are not compliant with theProposal   Award Policies   Procedures Guide (PAPPG)will be returned without review</t>
  </si>
  <si>
    <t>Electrochemical Systems</t>
  </si>
  <si>
    <t>TheElectrochemical Systemsprogram is part of the Chemical Process Systems cluster, which also includes: 1) theCatalysisprogram; 2) theInterfacial Engineeringprogram; and 3) theProcess Systems, Reaction Engineering, and Molecular Thermodynamicsprogram.
_x000D_
The goal of theElectrochemical Systemsprogram is to support fundamental engineering science research that will enable innovative processes involving electrochemistry or photochemistry for the sustainable production of electricity, fuels, chemicals, and other specialty and commodity products. Processes utilizing electrochemistry or photochemistry for sustainable energy and chemical production must be scalable, environmentally benign, reduce greenhouse gas production, and utilize renewable resources. Research projects that stress fundamental understanding of phenomena that directly impact key barriers to improved system or component-level performance (for example, energy efficiency, product yield, process intensification) are encouraged. Processes for energy storage should address fundamental research barriers for renewable electricity storage applications, for transport propulsion, or for other applications that could have impact towards climate change mitigation. For projects concerning energy storage materials, proposals should involve testable hypotheses that involve device or component performance characteristics that are tied to fundamental understanding of transport, kinetics, or thermodynamics. Advanced chemistries beyond lithium-ion are encouraged. Proposed research on processes utilizing electrochemistry or photochemistry should be inspired by the need for economic and impactful conversion processes.
_x000D_
All proposal project descriptions should address how the proposed work, if successful, will improve process realization and economic feasibility and compare the proposed work against current state of the art. Highly integrated multidisciplinary projects are encouraged. When appropriate, collaborations with industrial technologists are encouraged through GOALI proposals. Collaborative projects with an integrated experimental and theoretical approach are also encouraged.
_x000D_
Topics of interest include electrochemical energy storage and electrochemical production/conversion systems. Radically new battery systems can move the U.S. more rapidly toward a more sustainable transportation future and to greater renewable electricity production penetration. High-energy density and high-power density batteries suitable for transportation and renewable energy storage applications are of primary interest. Advanced systems involving metal anodes, solid-state electrolytes, nonaqueous systemsbeyond lithium, aqueous systems beyond lithium,and multivalent chemistries are encouraged. Research activities focused on commercially available systems such as lead-acid and nickel-metal hydride batteries or lithium-ion batteries for medical or consumer electronics applications will not be considered by this program. Novel electrochemical and photochemical systems and processes for the production of chemicals and high-value products are encouraged. Emphasis is placed on those systems that improve process intensification and process modularization with accompanying benefits in energy efficiency and environmental footprint.
_x000D_
Additional fundamental science topics of interest to this program include the study of:
_x000D_
_x000D_
advanced fuel cell systems or fuel cell components for transportation propulsion or grid energy storage applications;_x000D_
flow batteries for stationary energy storage applications including alternative redox chemistries (e.g., organic, inorganic, organometallic, macromolecular) and operating strategies (e.g., redox-mediation, suspensions); and_x000D_
photocatalytic or photoelectrochemical processes and devices for the splitting of water into hydrogen gas or for the reduction of carbon dioxide to liquid or gaseous fuels. Projects that largely focus on developing fundamental understanding of the catalytic reaction mechanisms and structure-function relationships may be more appropriate as submissions to the CBET Catalysis program (CBET 1401)._x000D_
_x000D_
Projects submitted to the Electrochemical Systems program are expected to develop fundamental, molecular-level understanding of the key chemical reaction and transport phenomena barriers to improved system-level performance. Innovative proposals outside of these specific interest areas may be considered. However, prior to submission, it is recommended that the Principal Investigator contact the program director to avoid the possibility of the proposal being returned without review.
_x000D_
Referrals to other programs within NSF:
_x000D_
_x000D_
Proposals that focus on electric-field driven separations such as dielectrophoresis should be directed to theInterfacial Engineeringprogram (CBET 1417)._x000D_
Proposals that focus on thermal management of energy storage devices and systems should be submitted to theThermal Transport Processesprogram (CBET 1406)._x000D_
Proposals that focus on improving device and system performance of primarily organic, inorganic, and hybrid photovoltaic (PV) technologies, including perovskites, may be more appropriate as submissions to the Electronics, Photonics, and Magnetic Devices program in Engineering's Division of Electrical, Communications, and Cyber Systems (ECCS 1517). PV materials proposals that focus on the material science may be considered in the Division of Materials Research of the Directorate for Mathematical and Physical Sciences._x000D_
Proposals that focus on the generation of thermal energy by solar radiation should be directed to theThermal Transport Processesprogram (CBET 1406)._x000D_
_x000D_
INFORMATION COMMON TO MOST CBET PROGRAMS
_x000D_
Proposals should address the novelty and/orpotentially transformative natureof the proposed work compared to previous work in the field. Also, it is important to address why the proposed work is important in terms of engineering science, as well as to also project the potential impact on society and/or industry of success in the research.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principal investigator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 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theProposal   Award Policies   Procedures Guide(PAPPG), Part 1, Chapter II, Section E: Types of Proposals.
_x000D_
COMPLIANCE: Proposals which are not compliant with theProposal   Award Policies   Procedures Guide (PAPPG)will be returned without review.</t>
  </si>
  <si>
    <t>Environmental Sustainability</t>
  </si>
  <si>
    <t>TheEnvironmental Sustainability program is part of theEnvironmental Engineering and Sustainabilitycluster together with 1) theEnvironmental Engineeringprogram and 2) theNanoscale Interactionsprogram.
_x000D_
The goal of theEnvironmental Sustainabilityprogram is to promote sustainable engineered systems that support human well-being and that are also compatible with sustaining natural (environmental) systems. These systems provide ecological services vital for human survival. Research efforts supported by the program typically consider long time horizons and may incorporate contributions from the social sciences and ethics. The program supports engineering research that seeks to balance society's need to provide ecological protection and maintain stable economic conditions.
_x000D_
There are five principal general research areas that are supported.
_x000D_
_x000D_
Circular Bioeconomy Engineering:This area includes research that enables sustainable societal use of food, energy, water, nitrogen, phosphorus, and materials, with the reduction and eventual elimination of fossil fuel combustion that lacks carbon capture. The program encourages research that helps build the raw material basis for the functioning of society principally on biomass, drawing heavily on sustainable agriculture and forestry. Additionally, material flows must reduce or preferably eliminate waste, with an emphasis on closed-loop or   processing._x000D_
Industrial ecology:Topics of interest include advancements in modeling such as life cycle assessment, materials flow analysis, net energy analysis, input/output economic models, and novel metrics for measuring sustainable systems. Innovations in industrial ecology are encouraged._x000D_
Green engineering:Research is encouraged to advance the sustainability of manufacturing processes, green buildings, and infrastructure. Many programs in the Engineering Directorate support research in environmentally benign manufacturing or chemical processes. The Environmental Sustainability program supports research that would affect more than one chemical or manufacturing process or that takes a systems or holistic approach to green engineering for infrastructure or green buildings. Improvements in distribution and collection systems that will advance smart growth strategies and ameliorate effects of growth are research areas that are supported by Environmental Sustainability. Innovations in management of storm water, recycling and reuse of drinking water, and other green engineering techniques to support sustainability may also be fruitful areas for research._x000D_
Ecological engineering:Proposals should focus on the engineering aspects of restoring ecological function to natural systems. Engineering research in the enhancement of natural capital to foster sustainable development is encouraged._x000D_
Earth systems engineering:Earth systems engineering considers aspects of large-scale engineering research that involve mitigation of greenhouse gas emissions, adaptation to climate change, and other global concerns._x000D_
_x000D_
All proposed research should be driven by engineering principles, and be presented explicitly in an environmental sustainability context. Proposals should include involvement in engineering research of at least one graduate student, as well as undergraduates. Incorporation of aspects of social, behavioral, and economic sciences is welcomed.
_x000D_
NOTE: Water treatment, air pollution (both outdoor and indoor), soil remediation, and solid waste treatment proposals are to besubmitted to theEnvironmental Engineeringprogram (CBET 1440).
_x000D_
Innovative proposals outside the scope of the four core areas mentioned above may be considered. However, prior to submission, it is recommended that the Principal Investigator contact the program director to avoid the possibility of the proposal being returned without review. For proposals that call for research to be done on regions that are outside of the United States, an explanation must be presented of the potential benefit of the research for the United States.
_x000D_
INFORMATION COMMON TO MOST CBET PROGRAMS
_x000D_
Proposals should address the novelty and/orpotentially transformative natureof the proposed work compared to previous work in the field. Also, it is important to address why the proposed work is important in terms of engineering science, as well as to also project the potential impact on society and/or industry of success in the research.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 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Guide(PAPPG), Part 1, Chapter II, Section E:Types of Proposals.
_x000D_
Compliance: Proposals that are not compliant with theProposal   Award Policies   Procedures Guide (PAPPG)will be returned without review.</t>
  </si>
  <si>
    <t>Biophotonics</t>
  </si>
  <si>
    <t>TheBiophotonicsprogram is part of the Engineering Biology and Health cluster, which also includes: 1) theBiosensingprogram; 2) theCellular and Biochemical Engineeringprogram; 3) theDisability and Rehabilitation Engineeringprogram; and 4) theEngineering of Biomedical Systemsprogram.
_x000D_
The goal of theBiophotonicsprogram is to explore the research frontiers in photonics principles, engineering and technology that are relevant for critical problems in fields of medicine, biology and biotechnology. Fundamental engineering research and innovation in photonics is required to lay the foundations for new technologies beyond those that are mature and ready for application in medical diagnostics and therapies. Advances are needed in nanophotonics, optogenetics, contrast and targeting agents, ultra-thin probes, wide field imaging, and rapid biomarker screening. Low cost and minimally invasive medical diagnostics and therapies are key motivating application goals.
_x000D_
Research topics in this program include:
_x000D_
_x000D_
Imaging in the second near infrared window:Research that advances medical applications of biophotonics in the second near-infrared window (NIR-II: 1,000-1,700 nm) in which biological tissues are transparent up to several centimeters in depth, making this spectral window ideal for deep tissue imaging._x000D_
Macromolecule markers: Innovative methods for labeling of macromolecules. Novel compositions of matter. Methods of fabrication of multicolor probes that could be used for marking and detection of specific pathological cells.Pushing the envelope of optical sensing to the limits of detection, resolution, and identification._x000D_
Low coherence sensing at the nanoscale: Low coherence enhanced backscattering (LEBS). N-dimensional elastic light scattering.Angle-resolved low coherence interferometry for early cancer detection (dysplasia)._x000D_
Neurophotonics:Studies of photon activation of neurons at the interface of nanomaterials attached to cells. Development and application of biocompatible photonic tools such as parallel interfaces and interconnects for communicating and control of neural networks._x000D_
Microphotonics and nanophotonics:Development and application of novel nanoparticle fluorescent quantum-dots. Sensitive, multiplexed, high-throughput characterization of macromolecular properties of cells.Nanomaterials and nanodevices for biomedicine._x000D_
Optogenetics: Novel research in employing light-activated channels and enzymes for manipulation of neural activity with temporal precision. Utilizing nanophotonics, nanofibers, and genetic techniques for mapping and studying in real-time physiological processes in organs such as the brain and heart._x000D_
_x000D_
Innovative proposals outside of these specific interest areas may be considered. However, prior to submission, it is recommended that the Principal Investigator contact the program director to avoid the possibility of the proposal being returned without review.
_x000D_
INFORMATION COMMON TO MOST CBET PROGRAMS
_x000D_
Proposals should address the novelty and/orpotentially transformative natureof the proposed work compared to previous work in the field. Also, it is important to address why the proposed work is important in terms of engineering science, as well as to also project the potential impact on society and/or industry of success in the research.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 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 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Guide(PAPPG), Part 1, Chapter II, Section E: Types of Proposals.
_x000D_
Compliance: Proposals that are not compliant with theProposal   Award Policies   Procedures Guide (PAPPG)will be returned without review.</t>
  </si>
  <si>
    <t>Nanoscale Interactions</t>
  </si>
  <si>
    <t>TheNanoscale Interactionsprogram is part of theEnvironmental Engineering and Sustainabilitycluster, which also includes: 1) theEnvironmental Engineeringprogram; and 2) theEnvironmental Sustainabilityprogram.
_x000D_
The goal of theNanoscale Interactionsprogram is to support research toadvance fundamental and quantitative understanding of the interactions of nanomaterials and nanosystems with biological andenvironmental media.
_x000D_
Materials of interest include one- to three-dimensional nanostructures, heterogeneous nano-bio hybrid assemblies, dendritic and micelle structures, quantum dots, and other nanoparticles.Such nanomaterials and systems frequently exhibit novel physical, chemical, photonic, electronic, and biological behavior as compared to the bulk scale. Collaborative and interdisciplinary proposals are encouraged.
_x000D_
Research areas supported by the program include:
_x000D_
_x000D_
Characterizationof interactions at the interfacesof nanomaterials and nanosystems,including both simple nanoparticles andcomplex and/or heterogeneouscomposites and nanosystems, with surrounding biological and environmental media;_x000D_
Developmentof predictive toolsbased on the fundamental behavior ofnanostructures to advancecost-effective and environmentally benignprocessing and engineeringsolutions over full-life material cycles;_x000D_
Examinationof the transport, interaction, and impact of nanostructured materials andnanosystems on biological systems and the environment;_x000D_
Simulationsof nanoparticle behavior at interfaces, in conjunction with experimentalcomparisons, and new theories and simulation approaches for determiningthe transport and transformation of nanoparticles in various media; and_x000D_
Investigations of quantum vibronic and spin phenomena with correlations to nano phenomena._x000D_
_x000D_
The Nanoscale Interactions program will support exploratory research projects on nanoscale interactions of quantum effects which explain macroscopic changes and physiological and metabolic processes; investigate quantum vibration and electron spin to elucidate nano phenomena and produce quantitative data and evidence of quantum effects.
_x000D_
Research in these areas will enable the design of nanostructured materials and heterogeneous nanosystems with desired chemical, electronic, photonic, biological, and mechanical properties for optimal and sustainable handling, manufacture, and utilization.
_x000D_
NOTE:Studies that focus on fundamental research concerning atomic- and molecular-scale interfacial phenomena and engineering of interfacial properties, processes, and materials, particularly as relevant towards advancing industrial chemical or biochemical processes, may be more appropriate for theInterfacial Engineeringprogram (CBET 1417). Please consult with program directors prior to submission if you have questions about programmatic fit.
_x000D_
Innovative proposals outside of these specific interest areas may be considered. However, prior to submission, it is recommended that the Principal Investigator contact the program director to avoid the possibility of the proposal being returned without review.
_x000D_
INFORMATION COMMON TO MOST CBET PROGRAMS
_x000D_
Proposals should address the novelty and/orpotentially transformative natureof the proposed work compared to previous work in the field. Also, it is important to address why the proposed work is important in terms of engineering science, as well as to also project the potential impact on society and/or industry of success in the research.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 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Guide(PAPPG), Part 1, Chapter II, Section E:Types of Proposals.
_x000D_
Compliance: Proposals that are not compliant with theProposal   Award Policies   Procedures Guide (PAPPG)will be returned without review.</t>
  </si>
  <si>
    <t>CyberCorps(R) Scholarship for Service</t>
  </si>
  <si>
    <t>Others (see text field entitled "Additional Information on Eligibility" for clarification) *Who May Submit Proposals: Proposals may only be submitted by the following:
  -
Institutions of Higher Education (IHEs) accredited in, and having a campus located in the US, acting on behalf of their faculty members.Community colleges are eligible only as sub-awardees of the partnering four-year SFS institutions as described in the Program Description section.
*Who May Serve as PI:
As of the submission deadline, PIs, co-PIs, or other senior project personnel must hold primary, full-time, paid appointments in research or teaching positions at US-based campuses of institutions eligible to submit to this solicitation (see above), with exceptions granted for family or medical leave, as determined by the submitting institution.</t>
  </si>
  <si>
    <t>Cyberspace has transformed the daily lives of people. Society's overwhelming reliance on cyberspace, however, has exposed the system's fragility and vulnerabilities: corporations, agencies, national infrastructure, and individuals continue to suffer cyber-attacks. Achieving a truly secure cyberspace requires addressing both challenging scientific and engineering problems involving many components of a system, and vulnerabilities that stem from human behaviors and choices. Examining the fundamentals of security and privacy as a multidisciplinary subject can lead to fundamentally new ways to design, build, and operate cyber systems, protect existing infrastructure, and motivate individuals to learn about cybersecurity. The Cybersecurity Enhancement Act of 2014, as amended by the National Defense Authorization Acts for 2018 and 2021, and the CHIPS and Science Act of 2022, authorizes the National Science Foundation (NSF), in coordination with the Office of Personnel Management (OPM) and the Department of Homeland Security (DHS), to offer a scholarship program to recruit and train the next generation of cybersecurity professionals to meet the needs of the cybersecurity mission of federal, state, local, and tribal governments. The goals of the CyberCorps  Scholarship for Service (SFS) program are aligned with the U.S. strategy to develop a superior cybersecurity workforce. The program goals are to: (1) increase the number of qualified and diverse cybersecurity candidates for government cybersecurity positions; (2) improve the national capacity for the education of cybersecurity professionals and research and development workforce; (3) hire, monitor, and retain high-quality CyberCorps  graduates in the cybersecurity mission of the Federal Government; and (4) strengthen partnerships between institutions of higher education and federal, state, local, and tribal governments. While all three agencies work together on all four goals, NSF s strength is in the first two goals; OPM s in goal (3); and DHS in goal (4).
_x000D_
The SFS Program welcomes proposals to establish or to continue scholarship programs in cybersecurity. A proposing institution must provide clearly documented evidence of a strong existing academic program in cybersecurity. In addition to information provided in the proposal narrative, such evidence can include ABET accreditation in cybersecurity; a designation by the National Security Agency and the Department of Homeland Security as a Center of Academic Excellence in Cyber Defense Education(CAE-CDE), in Cyber Operations (CAE-CO) or in Research (CAE-R); or equivalent evidence documenting a strong program in cybersecurity.
_x000D_
Service Obligation: All scholarship recipients must work after graduation in the cybersecurity mission of a federal, state, local, or tribal government organization, or certain other qualifying entities, for a period equal to at least the length of the scholarship.
_x000D_
The SFS Program also supports efforts leading to an increase in the ability of the United States higher education enterprise to produce cybersecurity professionals. Funding opportunities in this area are provided via the Secure and Trustworthy Cyberspace - Education Designation (SaTC-EDU) and other programs (see the section "Increasing National Capacity in Cybersecurity Education" for more details.)</t>
  </si>
  <si>
    <t>Archaeology Program Senior Research Awards</t>
  </si>
  <si>
    <t>Others (see text field entitled "Additional Information on Eligibility" for clarification) *Who May Serve as PI:
PIs and co-PIs must be researchers who have a Ph.D. or equivalent education and experience, sufficient to allow them to carry out independent basic research. PIs of senior research proposals are encouraged to include undergraduate and graduate students in their research projects, but not as PI/co-PI or other senior personnel.</t>
  </si>
  <si>
    <t>The Archaeology Program supports anthropologically relevant archaeological research to increase understanding of past behaviors. This means that the value of the proposed research can be justified within an anthropological context. It is the responsibility of the investigator to explain convincingly why the focus of their research is significant and has the potential to contribute to anthropological knowledge. The program sets no priorities by either geographic region or time period. It also has no priorities in regard to theoretical orientation or question. While the program, in order to encourage innovative research, neither limits nor defines specific categories of research, most proposals either request funds for field research or the analysis of archaeological material through multiple approaches.</t>
  </si>
  <si>
    <t>Fluid Dynamics</t>
  </si>
  <si>
    <t>TheFluid Dynamicsprogram is part of the Transport Phenomena cluster, which also includes 1) theCombustion and Fire Systemsprogram; 2) theParticulate and Multiphase Processesprogram; and 3) theThermal Transport Processesprogram.
_x000D_
TheFluid Dynamicsprogram supports fundamental research toward gaining an understanding of the physics of various fluid dynamics phenomena. Proposed research should contribute to basic scientific understanding via experiments, theoretical developments, and computational discovery.
_x000D_
Major areas of interest and activity in the program include:
_x000D_
_x000D_
Turbulence and transition: High Reynolds number experiments; large eddy simulation; direct numerical simulation; transition to turbulence; 3-D boundary layers; separated flows; multi-phase turbulent flows; flow control and drag reduction. High-speed boundary layer transition and turbulence at Mach numbers greater than 5 to understand modal and/or non-modal interactions leading to boundary layer transition and the ensuing developing and fully developed turbulent boundary layer flows.Combined experiments and simulations are encouraged._x000D_
Bio-fluid physics:Bio-inspired flows; biological flows with emphasis on flow physics._x000D_
Non-Newtonian fluid mechanics:Single-phase viscoelastic flows; solutions of macro-molecules._x000D_
Bubble dynamics: Bubbles related to cavitation and/or drag reduction or impacting the fluid viscosity (locally) or manipulation of bubbles with external excitation (acoustofluidics)._x000D_
Microfluidics and nanofluidics: Micro-and nano-scale flow physics._x000D_
Wind and ocean energy harvesting: Focused on fundamental fluid dynamics associated with renewable energy. The NSF-DOE (Department of Energy) joint funding area is focused on high Reynolds number aerodynamics of thick airfoils (  21% thickness/chord) operating in complex (3D) steady, unsteady, and separated flows. Impacts of blade surface quality/roughness rotor performance on the aerodynamic/aeroelastic performance of novel rotor geometries and supporting structures are also of interest. Air/sea interactions, including waves/currents, on the hydrodynamic loading for offshore wind turbines. Improved measurement techniques and sensing/control technologies required to characterize the metocean environment impact on performance. The DoE participates in this initiative throughthe Wind Energy Technologies Office (program manager Michael Derby, email: michael.derby@ee.doe.gov)._x000D_
Fluid-structure interactions:General FSI applications across the low- to high-Reynolds number range are of interest to NSF. In addition, NSF-AFOSR (Air Force Office of Scientific Research) joint funding area is focused on theory, modeling and/or experiments for hypersonic applications. AFOSR participates in this initiative through the Aerothermodynamics program._x000D_
Canonicalconfigurations:Experimental research is encouraged to develop spatiotemporally resolveddatabases for canonical configurations to either confirm historicalresults or to provide data in an unexplored parameter region. Fidelity and completeness for theoretical/computational validation is a key attribute of theproposed experimental data._x000D_
Artificial intelligence (AI)/machine learning:Innovative AI ideas related to the use of machine learning and other AI approaches in fluid dynamics research to model and control the flows are encouraged.Verifying new models with canonicalconfigurations, when appropriate, is encouraged for theComputational andData-Enabled Science   Engineering(CDS E) program._x000D_
Instrumentation and Flow Diagnostics: Instrument development for time-space resolvedmeasurements; shear stress sensors; novel flow imaging; and velocimetry._x000D_
_x000D_
NOTE:Proposals that use fluid flows as a boundary input condition or a driving force in a problem do not fit within the scope of this program. Proposals focused on particulates (including droplets) two-way coupled with fluids, colloids, and multiphase rheology and processes should be directed to the Particulate andMultiphase Processesprogram. Proposals dealing mainly with materials synthesis, processing and characterization may be more suitable for theAdvanced Manufacturingprogramin the Division of Civil, Mechanical, and Manufacturing Innovation orprograms in theDivision of Materials Research. Proposals dealing primarily with sensors and controls may be more suitable for the Dynamics, Controls,   Cognition program in the Division of Civil, Mechanical, and Manufacturing Innovation. Proposals focused on biological systems may be more suitable forPhysiological and Structural Systemsin the Division of Integrative Organismal Systems.
_x000D_
INFORMATION COMMON TO MOST CBET PROGRAMS
_x000D_
Proposals should address the novelty and/orpotentially transformative natureof the proposed work compared to previous work in the field.Also, it is important to address why the proposed work is important in terms of engineering science, as well as to also project the potential impact on society and/or industry of success in the research.The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encouraged.Award duration is five years.The submission deadline for Engineering CAREER proposals is in July every year. Learn more in theCAREER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 (PAPPG), Part 1, Chapter II, Section E: Types of Proposals.
_x000D_
Compliance: Proposalsthat are not compliant with theProposal   Award Policies   Procedures Guide (PAPPG)will be returned without review.</t>
  </si>
  <si>
    <t>Synthesis Center for Understanding Organismal Resilience</t>
  </si>
  <si>
    <t>Synthesis Centers are a mechanism used by NSF's Directorate for Biological Science (BIO) to bring together communities that leverage existing data to catalyze discoveries through synthesis, analysis, and integrative training. Research supported by the Division of Integrative Organismal Systems (IOS) in BIO focuses on organisms as integrated units of biological organization, i.e., why they are structured as they are and function as they do.
_x000D_
IOS seeks to establish a new Synthesis Center to advance our ability to explain and predict organismal resiliency and plasticity in response to complex and dynamic environmental circumstances encountered over a lifespan through the synthesis of varied data sets and types that bridge multiple scales and levels.
_x000D_
The Synthesis Center will enable innovative synthesis and analysis of available biological and related data by providing the vision, infrastructure, and expertise to advance new avenues of inquiry in organismal biology focused on organismal resilience and plasticity. To accomplish this vision, the Synthesis Center will adopt approaches that are based on open science, team science, and data-intensive methods that enable data synthesis, sharing and inclusive collaborations among researchers across multiple levels of biological inquiry that may include genomic, physiological, structural, developmental, behavioral, neural, immunological, and microbiological analyses across some or all the IOS subdisciplines. In addition to supporting data and knowledge synthesis, the Synthesis Center should train new generations of researchers in solving challenging research problems through data-intensive, open, cross-disciplinary, and collaborative science. The Synthesis Center is also expected to serve as an example in effectively engaging diverse scientists from different types of institutions and across multiple disciplines. These types of data syntheses are expected to provide the basis for fundamental scientific discoveries and/or potentially translational, use-inspired research. In doing so, the Synthesis Center will have a profound impact on the progress of science and society.</t>
  </si>
  <si>
    <t>NINDS Institutional AD/ADRD Research Training Program (T32 Clinical Trial Not Allowed)</t>
  </si>
  <si>
    <t>Others (see text field entitled "Additional Information on Eligibility" for clarification)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t>
  </si>
  <si>
    <t>The purpose of this FOA is to provide support for institutional research training programs in Alzheimers Disease/Alzheimers Disease-Related Dementias (AD/ADRD). These institutional research training programs should produce well-trained neuroscientists who leave the program with the research skills and scientific knowledge to make a significant contribution to research on AD/ADRD cognitive impairment and dementia. Programs should be designed to enhance the breadth and depth of training across the spectrum AD/ADRD research areas (e.g. AD, Vascular Contributions to Cognitive Impairment and Dementia (VCID), Lewy Body Dementia (LBD), Fronto-temporal Dementia (FTD) and mixed dementias) by incorporating didactic, research and career development components within this theme into a program that fosters exceptional research skills and knowledge. Programs may support basic, clinical and/or translational research. Programs supported by this FOA must include formal components to ensure a thorough understanding of experimental design, statistical principles and methodological approaches, analytical skills, and skills for communicating science, both orally and in writing, to a wide variety of audiences. All programs are expected to design and/or provide opportunities and activities that will foster the development of quantitative literacy and the application of quantitative approaches to the trainees' research. These training programs are intended to be 2 years in duration and support training of one or more of the following groups: dissertation stage predoctoral students in their 3rd and/or 4th year of graduate school, postdoctoral fellows and fellowship-stage clinicians. (NINDS does not support first or second year graduate students under this FOA).</t>
  </si>
  <si>
    <t>Early Care and Education Research Scholars: Head Start Dissertation Grants</t>
  </si>
  <si>
    <t>Nonprofits having a 501(c)(3) status with the IRS, other than institutions of higher education Applicant eligibility is unrestricted except as noted in this section.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</si>
  <si>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Office of Planning, Research, and Evaluation (OPRE) of the Administration for Children and Families (ACF) plans to solicit applications for Early Care and Education Research Scholars: Head Start Dissertation Grants. Funds support dissertation research by advanced graduate students working in partnership with Head Start programs and with faculty mentors. These grants focus on building capacity in the research field by:(1) addressing questions relevant to early childhood programs that serve children and families with low-income,(2) supporting applied experience with collaboration with participating program partners, and(3) fostering mentoring relationships between faculty members and doctoral students.OPRE is interested in research that directly informs local, state, or federal policies and is relevant to multiple early care and education settings. Applicants must demonstrate an established partnership with their Head Start program partner(s) (and other early care and education program partners if applicable) that should be apparent throughout the research plan, from development and refinement of the research questions through the proposed data collection or secondary analyses of data, interpretation, and dissemination of findings. Eligible Tribally Controlled Land Grant Colleges and Universities, Historically Black Colleges and Universities, Hispanic Serving Institutions, and faith-based institutions of higher education are encouraged to apply. The applicant organization must have a history of research and federal funding oversight and must have appropriate research support resources to support the student. The faculty mentor who will serve as principal investigator must have a Ph.D. or equivalent in the respective field and conduct research as a primary professional responsibility. Faculty mentors with doctoral training and research expertise must be able to provide proper supervision and quality control over the project and interactions with participating programs to help ensure successful completion of sound dissertation research that addresses critical questions of interest to program(s) and ACF. To be eligible for award, the graduate student must provide evidence of an approved dissertation proposal with their application. This is a change from previous years when applicants were given additional time to submit evidence of an approved dissertation proposal after the application due date. The 2024 application due date and the due date for the evidence of an approved dissertation proposal are the same and will be specified in the Notice of Funding Opportunity (NOFO). For further information about previous Head Start Graduate Student Research Grant recipients, please refer to http://www.acf.hhs.gov/opre/research/project/head-start-graduate-student-research-program. For more information about OPRE, see http://www.acf.hhs.gov/opre. For information about the Office of Head Start and Head Start programs, see https://www.acf.hhs.gov/ohs . Please subscribe to this forecast at grants.gov to receive notifications of any updates.</t>
  </si>
  <si>
    <t>Early Care and Education Research Scholars: Child Care Dissertation Grants</t>
  </si>
  <si>
    <t>Public and State controlled institutions of higher education Applicant eligibility is unrestricted except as noted in this section. Applications from individuals (including sole proprietorships) and foreign entities are not eligible and will be disqualified from the merit review and funding under this funding opportunity. Faith-based and community organizations that meet the eligibility requirements are eligible to receive awards under this funding opportunity. Faith-based organizations may apply for this award on the same basis as any other organization, as set forth at and, subject to the protections and requirements of 45 CFR Part 87 and 42 U.S.C. 2000bb et seq., ACF will not, in the selection of recipients, discriminate against an organization on the basis of the organization's religious character, affiliation, or exercise.</t>
  </si>
  <si>
    <t>The Office of Planning, Research, and Evaluation (OPRE) of the Administration for Children and Families (ACF) plans to solicit applications for Early Care and Education Research Scholars: Child Care Dissertation Grants. Funds support dissertation research by advanced graduate students working on child care policy issues in partnership with a Child Care and Development Fund (CCDF) agency or administrator and with faculty mentors. These grants focus on building capacity in the research field by:addressing questions relevant to child care policy decision-making and program administration,fostering mentoring relationships between faculty members and doctoral students.OPRE is interested in research that addresses issues of significance related to CCDF; aims to inform policy decisions and solutions, particularly for populations that are underserved/understudied; and utilizes the most rigorous research methodology for the selected research question. Applicants must consult with a CCDF agency or administrator in the conceptualization of the research plan, from development and refinement of the research questions, through the proposed data collection or secondary analyses of data, interpretation, and dissemination of findings. Eligible Tribally Controlled Land Grant Colleges and Universities, Historically Black Colleges and Universities, Hispanic Serving Institutions, and faith-based institutions of higher education are encouraged to apply. The applicant organization must have a history of research and federal funding oversight and must have appropriate research support resources to support the student. The faculty mentor who will serve as principal investigator must have a Ph.D. or equivalent in the respective field and conduct research as a primary professional responsibility. Faculty mentors with doctoral training and research expertise must be able to provide proper supervision and quality control over the project and interactions with participating agencies to help ensure successful completion of sound dissertation research that addresses critical policy questions of interest to local CCDF partner(s) and ACF. To be eligible for award, the graduate student must provide evidence of an approved dissertation proposal with their application. This is a change from previous years when applicants were given additional time to submit evidence of an approved dissertation proposal after the application due date. The 2024 application due date and the due date for the evidence of an approved proposal are the same and will be specified in the Notice of Funding Opportunity. For further information about prior awards made to Child Care Research Scholars, please refer to Early Care and Education Research Scholars: Child Care Dissertation Grants | The Administration for Children and Families (hhs.gov).  For more  information about OPRE, see OPRE | The Administration for Children and Families (hhs.gov). For information about the Office of Child Care and CCDF, see https://www.acf.hhs.gov/occ. Please subscribe to this forecast at grants.gov to receive notifications of any updates.</t>
  </si>
  <si>
    <t>FY 2023 EDA Public Works and Economic Adjustment Assistance Programs</t>
  </si>
  <si>
    <t>Public and State controlled institutions of higher education Pursuant to Section 3(4) of PWEDA (42 U.S.C.   3122(4)(a)) and 13 C.F.R.   300.3 (Eligible Recipient), eligible applicants for EDA financial assistance under the Public Works and EAA programs include a(n): (i) District Organization of an EDA-designated Economic Development District; (ii) Indian Tribe or a consortium of Indian Tribes; (iii) State, county, city, or other political subdivision of a State, including a special purpose unit of a State or local government engaged in economic or infrastructure development activities, or a consortium of political subdivisions; (iv) institution of higher education or a consortium of institutions of higher education; or (v) public or private non-profit organization or association acting in cooperation with officials of a political subdivision of a State. Individuals and for-profit entities are not eligible for funding under this NOFO.</t>
  </si>
  <si>
    <t>*NEW APPLICATION PROCESS - PLEASE READ*
EDA is excited to announce the launch of its new grants management platform: the Economic Development Grants Experience (EDGE). EDGE was developed to streamline the application and grants management process by implementing a single platform with increased transparency, improved user experience, higher data quality, and more efficiency throughout the entire grant lifecycle.
As of April 6th, the PWEAA2020 NOFO is closed, and PWEAA2023 is open for applications. Applications for PWEAA2023 will only be accepted through EDGE. To apply for funding under this NOFO, please review the NOFO here on Grants.gov and go to: sfgrants.eda.gov to apply. More information on how to apply is provided in the full NOFO. 
Program Overview:
EDA has authority to provide grants to meet the full range of communitiesâ€™ and regionsâ€™ economic development needs from planning and technical assistance to construction of infrastructure. These grants are made through a series of Notices of Funding Opportunity (NOFOs) that can be found on EDAâ€™s website at https://www.eda.gov/funding/funding-opportunities and are designed to support the economic development activities most useful to a community based on its needs and circumstances. EDA funds community or regionally generated ideas and assists communities to advance to the next level of economic development.
This NOFO, which supersedes the FY20 PWEAA NOFO, sets out EDAâ€™s application submission and review procedures for two of EDAâ€™s core economic development programs authorized under the Public Works and Economic Development Act of 1965, as amended (42 U.S.C. Â§ 3121 et seq.) (PWEDA): (1) Public Works and Economic Development Facilities (Public Works) and (2) Economic Adjustment Assistance (EAA).
EDA supports bottom-up strategies that build on regional assets to spur economic growth and resiliency. EDA encourages its grantees throughout the country to develop initiatives that present new ideas and creative approaches to advance economic prosperity in distressed communities.
Through this NOFO EDA intends to advance general economic development in accordance with EDAâ€™s investment priorities, but also to pursue projects that, where practicable, incorporate specific priorities related to equity, workforce development, and climate change resiliency so that investments can benefit everyone for decades to come.</t>
  </si>
  <si>
    <t>NIA Expanding Research in AD/ADRD (ERA) Postbaccalaureate Research Education Program (R25 - Independent Clinical Trial Not Allowed)</t>
  </si>
  <si>
    <t>Independent school districts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applyNon-domestic (non-U.S.) components of U.S. Organizations are not eligible to apply.Foreign components, as defined in the NIH Grants Policy Statement, are not allowed.</t>
  </si>
  <si>
    <t>It is essential to expand and diversify the skilled Alzheimers Disease and Alzheimers Disease and Related Dementias (AD/ADRD) research workforce and provide exposure to AD/ADRD research to individuals early in their career exploration. This Funding Opportunity Announcement (FOA) supports the development and implemention of research education programs for recent baccalaureates from diverse backgrounds.</t>
  </si>
  <si>
    <t>NIA Expanding Research in AD/ADRD (ERA) Summer Research Education Program (R25 - Independent Clinical Trial Not Allowed)</t>
  </si>
  <si>
    <t>Special district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applyNon-domestic (non-U.S.) components of U.S. Organizations are not eligible to apply.Foreign components, as defined in the NIH Grants Policy Statement, are not allowed.</t>
  </si>
  <si>
    <t>It is essential to expand and diversify the skilled Alzheimer's Disease (AD) and Alzheimers Disease Related Dementias (ADRD) research workforce and provide exposure to AD/ADRD research to individuals early in their career exploration. This Funding Opportunity Announcement (FOA) supports the development and implementation of summer research education programs for high school students, undergraduates, or science teachers from diverse backgrounds.</t>
  </si>
  <si>
    <t>Understanding Chronic Conditions Understudied Among Women (R21 Clinical Trial Optional)</t>
  </si>
  <si>
    <t>Nonprofits having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</si>
  <si>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purpose of this Funding Opportunity Announcement (FOA) is to invite R21 applications on chronic conditions understudied among women and/or that disproportionately affect populations of women who are understudied, underrepresented, and underreported in biomedical Research should align with Goal 1 of the 2019-2023 Trans-NIH Strategic Plan for Women's Health Research "Advancing Science for the Health of Women." The awards under this FOA will be administered by NIH ICs using funds that have been made available through the Office of Research on Womens Health (ORWH) and the scientific partnering Institutes and Centers across NIH.</t>
  </si>
  <si>
    <t>U.S. Embassy Libreville PDS Annual Program Statement</t>
  </si>
  <si>
    <t>DOS-GAB</t>
  </si>
  <si>
    <t>U.S. Mission to Gabon</t>
  </si>
  <si>
    <t>Others (see text field entitled "Additional Information on Eligibility" for clarification) Civil Society organizations_x000D_
Educational associations</t>
  </si>
  <si>
    <t xml:space="preserve">A. PROGRAM DESCRIPTION 
The U.S. Embassy Libreville Public Diplomacy Section (PDS) of the U.S. Department of State is pleased to announce that funding is available through its Public Diplomacy Small Grants Program. This is an Annual Program Statement, outlining our funding priorities, the strategic themes we focus on, and the procedures for submitting requests for funding. Please carefully follow all instructions below. 
Purpose of Small Grants: PDS invites proposals for programs that strengthen cultural ties between the U.S. and Gabon through cultural and exchange programming that highlights shared values and promotes bilateral cooperation. All programs must include an American cultural element, or connection with American expert/s, organization/s, or institution/s in a specific field that will promote increased understanding of U.S. policy and perspectives. 
Examples of PDS Small Grants Program programs include, but are not limited to: 
Â· Academic and professional lectures, seminars and speaker programs; 
Â· Artistic and cultural workshops, joint performances and exhibitions; 
Â· Cultural heritage conservation and preservation programs; 
Â· Professional and academic exchanges and programs; 
Priority Program Areas: 
Â· Enhance Capacity to Preserve the Environment and Biodiversity to Counter the Effects of Climate Change 
Â· Deepen U.S. â€“ Gabon People-to-People Ties 
o Programs that seek to explain U.S. policies, culture, and values to Gabonese audiences 
Â· Increase Civic Engagement in Gabonese Society 
The following types of programs are not eligible for funding:  
Â· Programs relating to partisan political activity; 
Â· Charitable or development activities; 
Â· Construction programs; 
Â· Programs that support specific religious activities; 
Â· Fund-raising campaigns; 
Â· Lobbying for specific legislation or programs 
Â· Scientific research; 
Â· Programs intended primarily for the growth or institutional development of the organization; or 
Â· Programs that duplicate existing programs. 
Authorizing legislation, type and year of funding: 
Funding authority rests in the Smith-Mundt. The source of funding is FY2023 Public Diplomacy Funding.  
B. FEDERAL AWARD INFORMATION 
Length of performance period: Up to 12 months  
Number of awards anticipated: 2 or 3 awards (dependent on amounts) 
Award amounts: awards may range from a minimum of $5,000 to a maximum of $12,500 
Total available funding: $25,000 
Type of Funding: Fiscal Year 2023 Public Diplomacy Funding 
Anticipated program start date: From July/August 2023 
This notice is subject to availability of funding. 
Funding Instrument Type: Grant, Fixed Amount Award, or Cooperative agreement. Cooperative agreements are different from grants in that PDS staff are more actively involved in the grant implementation. 
Program Performance Period: Proposed programs should be completed in two years or less.  
PDS will entertain applications for continuation grants funded under these awards beyond the initial budget period on a non-competitive basis subject to availability of funds, satisfactory progress of the program, and a determination that continued funding would be in the best interest of the U.S. Department of State. 
C. ELIGILIBITY INFORMATION 
1. Eligible Applicants 
The Public Diplomacy Section encourages applications from U.S. and Gabon: 
Â· Registered not-for-profit organizations, including think tanks and civil society/non-governmental organizations with programming experience. 
Â· Individuals  
 Non-profit or governmental educational institutions 
 Governmental institutions 
For-profit or commercial entities are not eligible to apply.  
2. Cost Sharing or Matching 
Cost sharing is not required. 
3. Other Eligibility Requirements 
Applicants are only allowed to submit one proposal per organization. If more than one proposal is submitted from an organization, all proposals from that institution will be considered ineligible for funding. 
In order to be eligible to receive an award, all organizations must have a Unique Entity Identifier (UEI) number issued via www.SAM.gov as well as a valid registration on www.SAM.gov. Please see Section D.3 for more information. Individuals are not required to have a UEI or be registered in SAM.gov. 
Please see link below for additional information. 
 </t>
  </si>
  <si>
    <t>Understanding Chronic Conditions Understudied Among Women (R01 Clinical Trial Optional)</t>
  </si>
  <si>
    <t>The purpose of this Funding Opportunity Announcement (FOA) is to invite R01 applications on chronic conditions understudied among women and/or that disproportionately affect populations of women who are understudied, underrepresented, and underreported in biomedical Research should align with Goal 1 of the 2019-2023 Trans-NIH Strategic Plan for Women's Health Research "Advancing Science for the Health of Women." The awards under this FOA will be administered by NIH ICs using funds that have been made available through the Office of Research on Womens Health (ORWH) and the scientific partnering Institutes and Centers across NIH.</t>
  </si>
  <si>
    <t>U.S. Ambassadors Fund for Cultural Preservation - Ukraine Response</t>
  </si>
  <si>
    <t>Refer to the Application Instructions (PDF) under Related Documents for additional information on eligible activities and application submission details. For proposals to receive consideration, applicants must submit all materials to AFCP@state.gov.
The Bureau of Educational and Cultural Affairs of the U.S. Department of State (the Bureau) and the U.S. Embassy to Ukraine announce an open competition for organizations to submit proposals for funding through the Bureauâ€™s U.S. Ambassadors Fund for Cultural Preservation â€“ Ukraine Response (AFCP-UR) to carry out urgent projects to preserve and protect cultural heritage in Ukraine impacted by Russiaâ€™s unjust and unprovoked war of aggression.
The overall intent of this program is to safeguard prominent examples of Ukraineâ€™s cultural heritage. It will support the following activities:
 Assessment and documentation of risk and damage to cultural heritage sites, objects, and collections.
 Protection of cultural heritage sites, objects, and collections from theft, damage, or further damage.
 Stabilization or temporary repair of damaged cultural heritage sites, objects, and collections.
 Recovery or conservation of cultural heritage objects and collections as conditions allow.
 Recovery, restoration, or reconstruction of damaged cultural heritage sites as conditions allow.
AFCP-UR will support projects in the following two categories: 1) Site-Specific Projects, and 2) Regional Assessment and Rapid Response Projects. Eligible applicants may submit multiple applications and may apply to one or both project categories.
 Site-Specific Projects: For these projects, an applicant shall carry out protection and stabilization activities at a specific site or for a specific collection. It is expected that an initial damage assessment has already been conducted and can form the basis of a project proposal.
 Regional Assessment and Rapid Repair Projects: For these projects, an applicant shall identify a geographic area in Ukraine, conduct risk and damage assessments in that area, and prioritize and implement response and recovery activities.
Refer to the Application Instructions (PDF) under Related Documents for additional information on eligible activities, and application submission details. For proposals to receive consideration, applicants must submit all materials to AFCP@state.gov.</t>
  </si>
  <si>
    <t>CHIPS Incentives Program   Commercial Fabrication Facilities</t>
  </si>
  <si>
    <t>Others (see text field entitled "Additional Information on Eligibility" for clarification) An applicant must be a  covered entity  to receive CHIPS Incentives. For purposes of this NOFO, a  covered entity  means a nonprofit entity; a private-sector entity; a consortium of private-sector entities; or a consortium of nonprofit, public, and private-sector entities with a demonstrated ability to substantially finance, construct, expand, or modernize a facility relating to fabrication, assembly, testing, advanced packaging, or production of semiconductors.</t>
  </si>
  <si>
    <t>The CHIPS Incentives Program aims to catalyze long-term economically sustainable growth in the domestic semiconductor industry in support of U.S. economic and national security. This is the first Notice of Funding Opportunity under this program. It seeks applications for projects for the construction, expansion, or modernization of commercial facilities for the front- and back-end fabrication of leading-edge, current-generation, and mature-node semiconductors. 
For more information, additional resources, and instructions on how to apply, please visit chips.gov. Note that all applications must be submitted through the CHIPS Incentives Portal at http://applications.chips.gov. If you have any questions on how to apply, please email apply@chips.gov.</t>
  </si>
  <si>
    <t>Communications, Circuits, and Sensing-Systems</t>
  </si>
  <si>
    <t xml:space="preserve">The Communications, Circuits, and Sensing-Systems (CCSS) Program supports innovative research in circuit and system hardware and signal processing techniques. CCSS also supports system and network architectures for communications and sensing to enable the next-generation cyber-physical systems (CPS) that leverage computation, communication, and sensing integrated with physical domains. CCSS invests in micro- and nano-electromechanical systems (MEMS/NEMS), physical, chemical, and biological sensing systems, neurotechnologies, and communication   sensing circuits and systems. The goal is to create new complex and hybrid systems ranging from nano- to macro-scale with innovative engineering principles and solutions for a variety of applications including but not limited to healthcare, medicine, environmental and biological monitoring, communications, disaster mitigation, homeland security, intelligent transportation, manufacturing, energy, and smart buildings. CCSS encourages research proposals based on emerging technologies and applications for communications and sensing such as high-speed communications of terabits per second and beyond, sensing and imaging covering microwave to terahertz frequencies, personalized health monitoring and assistance, secured wireless connectivity and sensing for the Internet of Things, and dynamic-data-enabled autonomous systems through real-time sensing and learning.
_x000D_
Areas managed by CCSS Program Directors (please contact Program Directors listed in the CCSS staff directory for areas of interest):
_x000D_
RF Circuits and Antennas for Communications and Sensing
_x000D_
_x000D_
RF Communications and Sensing Technologies from kHz to THz_x000D_
Antennas and Wave Propagation for Communications and Sensing_x000D_
Circuits and Systems for Secured Communications and Sensing_x000D_
Trusted Microelectronic Circuits_x000D_
RF Biomedical Applications and Remote Sensing_x000D_
Bio-mimetic Circuits and Systems_x000D_
Dynamic-data-enabled Reconfigurable RF Subsystems through Sensing and Machine Learning_x000D_
Wireless Energy Transfer and RF Energy Harvesting_x000D_
_x000D_
Communication Systems and Signal Processing
_x000D_
_x000D_
Wireless, Optical, and Hybrid Communications and Networking_x000D_
Full-duplex, massive MIMO, mm-Wave, and THz communications_x000D_
Spectrum Access and Sharing_x000D_
Integrated Sensing, Communication, and Computational Systems_x000D_
Signal Processing, image processing, and Compressive Sampling_x000D_
Cyber Physical Systems and Hardware-controlled Secured Communications_x000D_
Dynamic-data-enabled Communication Systems through Sensing and Machine Learning_x000D_
Quantum Communication Systems_x000D_
_x000D_
Dynamic Bio-Sensing Systems
_x000D_
_x000D_
Micro, Nano, and Bio Systems (MEMS/NEMS)_x000D_
Chemical, Biological, and Physical Diagnostics_x000D_
Sensors, Actuators, and Electronic Interfaces_x000D_
Ultra-Low Power Wearable and Implantable Sensing Systems_x000D_
Dynamic-data-enabled Reconfigurable Sensing Systems_x000D_
Personalized Health Monitoring Systems through Sensing and Machine Learning_x000D_
Neuroengineering and Brain-Inspired Concepts and Designs_x000D_
</t>
  </si>
  <si>
    <t>Growing Research Access for Nationally Transformative Equity and Diversity</t>
  </si>
  <si>
    <t>GRANTED supports ambitious ideas and innovative strategies to address challenges and inequalities within the research enterprise. The research enterprise is broadly defined and includes administrative support and service infrastructure such as, but not limited to, human capital, research development and administration, research analytics, technology transfer and commercialization, corporate relations/public-private partnerships, research integrity, compliance and security, research policy, administration of student research training, and research leadership. Strengthening this administrative infrastructure supporting research and STEM training is necessary to fully utilize the Nation's talent and capabilities and empower America's organizations that engage in or support research, to participate in a diverse, equitable, and internationally competitive research enterprise.
_x000D_
Program Description
_x000D_
A strong national research enterprise relies on more than funding for the research itself. It also requires robust administrative support and service infrastructure, which is often unseen, yet includes critical components of the research enterprise. This infrastructure enables the development of proposals and management of awards. It supports broader impacts activities through technology transfer, public-private partnerships and community engaged research. Policy and process guides research compliance and enables the security and integrity of the work. Research analytics and communication, managing the training of our scientific workforce, and harnessing the creativity and drive of research leadership, and more, are fundamental components of the infrastructure. Access to, and provisioning of, administrative infrastructure varies significantly among organizations in research, resulting in structural barriers that impede broad participation in the Nation's research and discovery opportunities. Securing global leadership demands we act together to transform the research enterprise to be more resilient, sustainable, equitable, and diverse.
_x000D_
The GRANTED initiative provides unique opportunities to realize this vision for research enterprise infrastructure. Proposals in response to this GRANTED program description should be broadly inclusive and engage the professional, administrative research support and service workforce in project leadership roles described within proposals.Proposed projects should look beyond individual and discipline-specific research needs and focus on activities that create institution/organization-wide impact. Projects that identify nationally scalable models to build and sustain research enterprise infrastructure are strongly encouraged. Competitive proposals will recognize structural challenges and include goals to implement interventions, solutions, and/or strategies that will mitigate the challenges and broaden participation. Proposals must be centered around one or more of the three main themes of GRANTED:
_x000D_
_x000D_
_x000D_
Enhancing practices and processes within the research enterprise;
_x000D_
_x000D_
_x000D_
Developing and strengthening human capital within the research enterprise;
_x000D_
_x000D_
_x000D_
Translating effective practices related to the research enterprise into diverseinstitutional and organizational contexts through partnerships with professional societies and organizations.
_x000D_
_x000D_
_x000D_
All types of institutions and organizations engaged, or aspiring to be engaged, in the research enterprise are invited to participate, as described in the current NSF Proposal and Award Policies and Procedures Guide (PAPPG) Part 1/Chapter 1, Section E. Prospective PIs are strongly encouraged to contact GRANTED initiative personnel (GRANTED@nsf.gov) with inquiries prior to developing and submitting a proposal to this program description. The project budget and duration should be determined by the scope of the proposed activities and presented in accordance with the PAPPG.GRANTED is not intended to fund discipline-specific STEM research and training projects.
_x000D_
Collectively, proposals funded through this Program Description will: 1) advance transformation of the national research enterprise, 2) generate scalable models that mitigate structural barriers and expand research capacity and competitiveness, 3) create new and authentic collaborations, partnerships, and communities centered around strengthening the Nation's research enterprise, 4) diversify the project leadership, institutions, ideas, and approaches that NSF funds, and 5) broaden participation in the Nation's research enterprise.</t>
  </si>
  <si>
    <t>Accelerating Elimination of Tuberculosis (TB) in Indonesia</t>
  </si>
  <si>
    <t>USAID-IND</t>
  </si>
  <si>
    <t>Indonesia USAID-Jakarta</t>
  </si>
  <si>
    <t>Others (see text field entitled "Additional Information on Eligibility" for clarification) Eligibility will be further described in each APS Addendum(s).</t>
  </si>
  <si>
    <t>Dear Interested Applicants:This Annual Program Statement (APS) publicizes in accordance with ADS 303.3.5.2(b) as the intention of the United States Government (USG), as represented by the United States Agency for International Development (USAID), Indonesia Mission, to fund one or multiple awards to improve the capacity of the National Tuberculosis Program, local partners, and communities to effectively detect, diagnose, and treat people affected by tuberculosis and provide preventive services to all people in need, while building a sustainable and resilient health system in Indonesia.This document is an â€œumbrellaâ€ APS that is not calling for any submission and will not solicit any concept papers nor applications. Prospective applicants will be provided a fair opportunity to develop and submit competitive applications to USAID for potential funding via APS Addendums under this APS. USAID Indonesia intends to make several assistance awards with US and local NGOs to assist the Government of Indonesia (GOI) in accelerating achievement toward its 2030 TB elimination.Following this APS, USAID will issue APS Addendum(s) with more detailed information for applicants to submit their applications. USAID Indonesia may utilize co-creation with prospective applicants during various stages of APS Addendum procurements and applicants may be invited to participate in virtual or in-person events. If/when there is any change related to this APS, the mission will amend this APS accordingly.Issuance of this APS does not commit USAID to make any awards nor to pay for the costs incurred in the preparation and submission of an application. USAID also reserves the right to reject any application received in response to the APS Addendum(s). USAID reserves the right not to conduct a co-creation and request Full Applications from successful applicants at the concept paper stage, or to conduct co-creation at a later stage of the process. The actual number of awards under this APS is subject to the availability of funds and the viability of applications received. USAID also reserves the right to award multiple awards or no awards at all through this APS.This APS and the APS Addendum will be posted on www.sam.gov and www.grants.gov. It is the responsibility of the Applicant to regularly check both websites to ensure they have the latest information pertaining to this APS and to ensure that the APS has been received from the internet in its entirety. USAID bears no responsibility for any data errors resulting from transmission or conversion process. If you have difficulty registering on www.grants.gov or accessing the APS document, please contact the Grants.gov Helpdesk at 1-800-518-4726 or via email at support@grants.gov for technical assistance.Thank you for your interest in USAID programs.</t>
  </si>
  <si>
    <t>Electronics, Photonics and Magnetic Devices</t>
  </si>
  <si>
    <t xml:space="preserve">TheElectronics, Photonics and Magnetic Devices (EPMD) Programsupports innovative research on novel devices based on the principles of electronics, optics and photonics, optoelectronics, magnetics, opto- and electromechanics, electromagnetics, and related physical phenomena. EPMD s goal is to advance the frontiers of micro-, nano- and quantum-based devices operating within the electromagnetic spectrum and contributing to a broad range of application domains including information and communications, imaging and sensing, healthcare, Internet of Things, energy, infrastructure, and manufacturing. The program encourages research based on emerging technologies for miniaturization, integration, and energy efficiency as well as novel material-based devices with new functionalities, improved efficiency, flexibility, tunability, wearability, and enhanced reliability.
_x000D_
Areas managed by Program Directors (please contact Program Directors listed in the EPMD staff directory for areas of interest):
_x000D_
Electronic Devices
_x000D_
_x000D_
Nanoelectronics_x000D_
Wide/Extreme- and Narrow-Bandgap, Semiconductor Devices_x000D_
Devices with New Functionalities based on Material-Device Interactions and Reliability_x000D_
Device-Related Electromagnetic Effects, Propagationand Scattering_x000D_
Microwave/mm-Wave/THz Devices_x000D_
Flexible, Printed Electronics_x000D_
Carbon-based Electronics_x000D_
Thermoelectric and Ferroelectric Devices_x000D_
_x000D_
Photonic Devices
_x000D_
_x000D_
Advanced Optical Emitters and Photodetectors, from Extreme UV to THz_x000D_
Single-Photon Quantum Devices_x000D_
Nonlinear and Ultrafast Photonics_x000D_
Nanophotonics and Photonic Integration_x000D_
Optical Imaging and Sensing Techniques_x000D_
Opto-Mechanical Nanodevices_x000D_
Optical Communication Components_x000D_
_x000D_
Magnetic Devices
_x000D_
_x000D_
Biomagnetic Devices_x000D_
Nanomagnetic and Quantum Devices_x000D_
Spin Electronics for Next Generation of Logic and Memories_x000D_
_x000D_
Cross-Cutting
_x000D_
_x000D_
2D Material Devices and Circuits_x000D_
Devices based on Paper Electronics_x000D_
Bioelectronic Devices_x000D_
Photovoltaic and Energy Harvesting Devices_x000D_
Metamaterial and Plasmonic-Based Devices_x000D_
Sensor Device Technologies_x000D_
</t>
  </si>
  <si>
    <t>Research Interests of the Air Force Office of Scientific Research</t>
  </si>
  <si>
    <t>Private institutions of higher education See Announcement</t>
  </si>
  <si>
    <t>AFOSR plans, coordinates, and executes the Air Force Research Laboratoryâ€™s (AFRL) basic research program in response to technical guidance from AFRL and requirements of the Air Force. Additionally, the office fosters, supports, and conducts research within Air Force, university, and industry laboratories; and ensures transition of research results to support U.S. Air Force needs. The focus of AFOSR is on research areas that offer significant and comprehensive benefits to our national war fighting and peacekeeping capabilities. These areas are organized and managed in two scientific Departments: Engineering and Information Science (RTA), Physical and Biological Sciences (RTB), and our international offices (EAORD, SOARD, and AOARD). The research activities managed within each Department are summarized in this section.</t>
  </si>
  <si>
    <t>Manufacturing Systems Integration</t>
  </si>
  <si>
    <t>The Manufacturing Systems Integration (MSI) Program supports fundamental research addressing the opportunities and challenges that digital technologies present for the next industrial revolution, with particular emphasis on the digital integration of design and manufacturing within the larger life cycle ecosystem. Manufacturing Systems Integration proposals should address underlying principles and advances that are generalizable for globally competitive and world leading industries. Connectivity, automation, and secure collaboration are examples of areas that are integral to digital environments capable of supporting the innovation, realization and sustainment of manufactured products and systems in the value creation process.
_x000D_
_x000D_
Fundamental generalizable research for manufacturing systems integration might include, for example:
_x000D_
_x000D_
_x000D_
Digital representation, protocols, and/or processes for integration and collaboration in manufacturing systems (machines and/or humans)_x000D_
Intelligent self-organizing production systems_x000D_
Ease of use, interoperability and seamless integration of technologies, machines, and humans_x000D_
Service-oriented architectures and systems_x000D_
Data sets that are compatible and usable across platforms_x000D_
Reliable and secure communications within and across the manufacturing value chain_x000D_
Integration of distributed manufacturing systems across time and space, including incorporating both legacy and leading-edge equipment and technologies_x000D_
Methods for assessing the impact and value of externalities throughout the life cycle within the digital environment_x000D_
_x000D_
_x000D_
_x000D_
Interdisciplinary, convergent proposals that bring diverse perspectives, populations, disciplines, and capabilities together are welcome. It is strongly encouraged and expected that investigators discuss their ideas with a MSI program director well in advance of proposal submission.</t>
  </si>
  <si>
    <t>Disaster Recovery National Dislocated Worker Grants to Address the Opioid Crisis</t>
  </si>
  <si>
    <t>Others (see text field entitled "Additional Information on Eligibility" for clarification) States; outlying areas; and, Indian tribal governments as defined by the Robert T. Stafford Disaster Relief and Emergency Assistance Act (42 U.S.C. 5122(6)).</t>
  </si>
  <si>
    <t>Questions regarding this funding opportunity may be emailed to: DOL-ETA-DWG@dol.gov.</t>
  </si>
  <si>
    <t>Utilizing Invasive Recording and Stimulating Opportunities in Humans to Advance Neural Circuitry Understanding of Mental Health Disorders (R01 Clinical Trial Optional)</t>
  </si>
  <si>
    <t>The purpose of this Funding Opportunity Announcement (FOA) is to encourage applications to pursue invasive neural recording studies focused on mental health-relevant questions. Invasive neural recordings provide an unparalleled window into the human brain to explore the neural circuitry and neural dynamics underlying complex moods, emotions, cognitive functions, and behaviors with high spatial and temporal resolution. Additionally, the ability to stimulate, via the same electrodes, allows for direct causal tests by modulating network dynamics. This funding opportunity aims to target a gap in the scientific knowledge of neural circuit function related to mental health disorders. Researchers should target specific questions suited to invasive recording modalities that have high translational potential. Development of new technologies and therapies are outside the scope of this FOA.</t>
  </si>
  <si>
    <t>Effectiveness of Implementing Sustainable Evidence-Based Mental Health Practices in Low-Resource Settings to Achieve Mental Health Equity for Traditionally Underserved Populations (R01 Clinical Trial Optional)</t>
  </si>
  <si>
    <t>State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not allowed.</t>
  </si>
  <si>
    <t>This Funding Opportunity Announcement (FOA) encourages studies that develop and test the effectiveness of strategies for implementation and sustainable delivery of evidence-based mental health treatments and services to improve mental health outcomes for underserved populations in under-resourced settings in the United States. Studies should identify and use innovative approaches to remediate barriers to provision, receipt, and/or benefit from evidence-based practices (EBPs) and generate new information about factors integral to achieving equity in mental health outcomes for underserved populations. Research generating new information about factors causing/reducing disparities are strongly encouraged, including due consideration of the needs of individuals across the life span.</t>
  </si>
  <si>
    <t>Innovative Mental Health Services Research Not Involving Clinical Trials (R01 Clinical Trials Not Allowed)</t>
  </si>
  <si>
    <t>State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</si>
  <si>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funding announcement is to encourage innovative research that will inform and support the delivery of high-quality, continuously improving mental health services to benefit the greatest number of individuals with, or at risk for developing, a mental illness. This announcement invites applications for non-clinical trial R01-level projects that address NIMH strategic priorities for mental health services research.</t>
  </si>
  <si>
    <t>Initiation of a Mental Health Family Navigator Model to Promote Early Access, Engagement and Coordination of Needed Mental Health Services for Children and Adolescents (R01 Clinical Trial Required)</t>
  </si>
  <si>
    <t>The purpose of this Funding Opportunity Announcement (FOA) is to encourage research applications to develop and test the effectiveness and implementation of family navigator models designed to promote early access, engagement and coordination of mental health treatment and services for children and adolescents who are experiencing early symptoms of mental health problems. For the purposes of this FOA, NIMH defines a family navigator model as a health care professional or paraprofessional whose role is to deploy a set of strategies designed to rapidly engage youth and families in needed treatment and services, work closely with the family and other involved treatment and service providers to optimize care and monitor the trajectory of mental health symptoms and outcomes over time. Applicants are encouraged to develop and test the navigator models ability to promote early access, engagement and coordination of mental health treatment and services for children and adolescents as soon as symptoms are detected. Of interest are navigator models that coordinate needed care strategies, determine the personalized match to the level of needed service amount, frequency and intensity, and harness novel technologies to track and monitor the trajectory of clinical, functional and behavioral progress toward achieving intended services outcomes.
This FOA is published in parallel to a companion R34</t>
  </si>
  <si>
    <t>Archaeology Program - Doctoral Dissertation Research Improvement Grants</t>
  </si>
  <si>
    <t>Others (see text field entitled "Additional Information on Eligibility" for clarification) *Who May Submit Proposals: Proposals may only be submitted by the following:
  -
Institutions of Higher Education (IHEs)   doctoral degree granting IHEs accredited in, and having a campus located in, the U.S., acting on behalf of their faculty members.
*Who May Serve as PI:
The proposal must be submitted through regular organizational channels by the dissertation advisor(s) on behalf of the graduate student. The advisor is the principal investigator (PI) and the student is the co-principal investigator (co-PI). The student must be the author of the proposal. The student must be enrolled at a U.S. institution but need not be a U.S. citizen. To be eligible to serve as the PI, the advisor must be available during the period of proposal submission and review and during the performance of the research in order to relay information and communications from NSF to the student.</t>
  </si>
  <si>
    <t>The Archaeology Program supports anthropologically relevant archaeological research. This means that the value of the proposed research can be justified within an anthropological context. The program sets no priorities by either geographic region or time period. It also has no priorities in regard to theoretical orientation or question and it is the responsibility of the investigator to explain convincingly why the focus of their research is significant and has the potential to contribute to anthropological knowledge. While the program, in order to encourage innovative research, neither limits nor defines specific categories of research, most applications either request funds for field research or the analysis of archaeological material through multiple approaches. The program also supports methodological projects which develop analytic techniques of potential archaeological value.</t>
  </si>
  <si>
    <t>Biological Oceanography</t>
  </si>
  <si>
    <t xml:space="preserve">The Biological Oceanography Program supports fundamental research in biological oceanography and marine ecologyin environments ranging from estuarine, coastal, and open ocean systems to the deep sea, as well as in the Great Lakes.Proposals submitted to the Program must have a compelling context in population, community, or ecosystem ecology or oceanography, as well as address topics that will contribute significantly to the understanding of marine or Great Lakes ecosystems. The Program supports interdisciplinary research and often co-reviews and co-funds projects with various programs in theDivision of Ocean Sciencesand theDirectorate of Biological Sciences(BIO), among others.Details on research topics funded by the Program, including supplements, RAPIDS, and EAGERS, can be found by selecting the link under Related URLS titled:  Additional Program Information.  To view research projects funded by the Program select the link below titled  What Has Been Funded (Recent Awards Made Through This Program, with Abstracts). </t>
  </si>
  <si>
    <t>Research Coordination Networks (RCN)</t>
  </si>
  <si>
    <t>_x000D_
The goal of the RCN program is to advance a field or create new directions in research or education by supporting groups of investigators to communicate and coordinate their research, training and educational activities across disciplinary, organizational, geographic, and international boundaries. The RCN program provides opportunities to foster new collaborations, including international partnerships where appropriate, and address interdisciplinary topics. Innovative ideas for implementing novel networking strategies, collaborative technologies, training, broadening participation, and development of community standards for data and meta- data are especially encouraged. RCN awards are not meant to support existing networks; nor are they meant to support the activities of established collaborations. RCN awards also do not support primary research. Rather, the RCN program supports the means by which investigators can share information and ideas; coordinate ongoing or planned research activities; foster synthesis and new collaborations; develop community standards; and in other ways advance science and education through communication and sharing of ideas. Additional information about the RCN program and its impacts may be found in Porter et al. 2012 Research Coordination Networks: Evidence of the relationship between funded interdisciplinary networking and scholarly impact. BioScience, 62: 282-288
_x000D_
_x000D_
Proposed networking activities directed to the RCN program should focus on a theme to give coherence to the collaboration, such as a broad research question ora particular technology or a unique approach to address a current challenge.PIs are encouraged to consider approaches that enhance the geographic diversity of participation in the chosen theme.
_x000D_
Participating programs in the Directorates for Biological Sciences (BIO), Computer and Information Science and Engineering (CISE), Geosciences (GEO), STEM Education (EDU), Engineering (ENG), Social, Behavioral and Economic Sciences (SBE), and Technology, Innovation and Partnerships (TIP) will accept RCN proposals. PIs are encouraged to discuss suitability of an RCN topic with a program officer that manages the appropriate program. For proposals submitted to the CISE, ENG, SBE and TIP directorates consultation PRIOR to submission is mandatory (see Proposal Preparation instructions for supplementary documents). The NSF Growing Research Access for Nationally Transformative Equity and Diversity(NSF GRANTED) program welcomes inquiries about potential RCN proposals aimed at strengthening the capability of institutions of higher education to develop, submit, and manage research proposals and awards.
_x000D_
Other NSF solicitations accept proposals similar to RCN but for narrowly defined themes. Please see section IX. Other Information of this solicitation for a listing of these programs. PIs are strongly advised to contact the appropriate Program Officer before submitting an RCN proposal.</t>
  </si>
  <si>
    <t>Social Psychology</t>
  </si>
  <si>
    <t>The Social Psychology Program at NSF supports research and research infrastructure to advance basic knowledge in social psychology. Projects funded by the Social Psychology Program support the NSF mission to promote the progress of science; to advance the national health, prosperity and welfare; and to secure the national defense. Proposals considered by the Social Psychology Program must communicate both the intellectual merit of the science and its broader societal impacts.
_x000D_
Proposed research should carry strong potential for creating transformative advances in the basic understanding of human social behavior. Among the many research topics supported are social cognition, attitudes, social and cultural influence, stereotypes, motivation, decision making, group dynamics, aggression, close relationships, social and affective neuroscience, social psychophysiology, emotions, prosocial behavior, health-related behavior, and personality and individual differences. Proposals that develop new theories or methods for understanding social behavior are highly encouraged. Research samples should represent substantial ranges of ethnicities, socioeconomic backgrounds, cultures and other dimensions of human populations.
_x000D_
Interdisciplinary, multidisciplinary and convergent research approaches are encouraged. Proposals involving non-human animals are considered only if the research offers clear and direct contributions to understanding human social behavior. The program does not fund research that seeks to improve clinical practice as its primary outcome, nor does it consider proposals with disease-related goals, including work on the etiology, diagnosis or treatment of physical or mental disease, abnormality or malfunction in human beings or animals.
_x000D_
In assessing intellectual merit, the Social Psychology Program places highest priority on research that is theoretically grounded, based on empirical observation and validation, and with designs appropriate to the questions asked. In assessing broader impacts, the Social Psychology Program places highest priority on proposals that offer strong potential to benefit society, strengthen our national security interests, improve the quality of life, broaden participation in science, enhance infrastructure for research and education, and include a plan for sharing the results with a wide variety of audiences.
_x000D_
The Social Psychology Program expects the methods, measures and data that result from NSF support to be openly shared with other researchers and the public. For further guidance proposers should consult Data Management for NSF SBE Directorate Proposals and Awards. The Data Management Plan should articulate how the proposed research will engage with best practices of open science. Researchers are expected to engage in open science practices, and deviations from that should be well-justified.
_x000D_
The Social Psychology Program accepts regular research proposals, including Faculty Early Career Development (CAREER) proposals, proposals for research in undergraduate institutions (RUI), rapid response research proposals (RAPID) and early-concept grants for exploratory research (EAGER). The program also accepts small conference proposals for events (including workshops) being planned one year or more after submission. The Social Psychology Program does not accept proposals for doctoral dissertation improvement awards.
_x000D_
Investigators are encouraged to contact a Social Psychology program director before submitting a proposal to confirm its fit with the scope and priorities of the Social Psychology Program. Such contact will be most productive by sending a one-page (maximum) summary with an overview of the planned proposal, which includes a description of intellectual merit and broader impacts.
_x000D_
The Social Psychology program is always interested in identifying new reviewers. Potential reviewers should have a Ph.D. in psychology or related field and have a demonstrated area of expertise relevant to social psychology. Individuals interested in reviewing for the program should send a short description of their areas of expertise (2 sentences) and their CV to a Social Psychology program director.</t>
  </si>
  <si>
    <t>U.S. Mission to the United Nations-Geneva, Small Grants Program</t>
  </si>
  <si>
    <t>DOS-USUN</t>
  </si>
  <si>
    <t>U.S. Mission to the United Nations</t>
  </si>
  <si>
    <t>Others (see text field entitled "Additional Information on Eligibility" for clarification) U.S. Mission Geneva welcomes applications from both individuals and organizations based in Geneva or abroad, including: Not-for-profit organizations, think-tanks, civil society, nongovernmental organizations, not-for-profit educational institutions, and foreign public entities including Public International Organizations and UN organizations. For-Profit organizations or commercial entities are not eligible to apply. Eligible proposals will be subject to compliance of U.S. Federal and Public Diplomacy regulations and guidelines and may also be reviewed by the Office of the Legal Adviser or by other State Department elements. Proposals will be funded based on an evaluation of how the proposal meets the solicitation review criteria, U.S. foreign policy objectives, and Mission priorities.</t>
  </si>
  <si>
    <t>This Notice of Funding Opportunity (NOFO) outlines funding priorities, strategic areas of focus, and instructions for submitting requests for funding. Please follow all instructions carefully. 
Through its Small Grants Program, the United States Mission in Geneva is accepting project proposals that promote U.S. policy priorities in the multilateral sphere. Project should be aimed at international (not U.S.) audiences, and impact should resonate in Geneva`s multilateral environment. Projects should be implemented by an organization or individual with a presence in Geneva and/or be carried out in Geneva itself.
U.S. Mission Genevaâ€™s Small Grants Program supports projects that include, but are not limited to, the following priority areas: 
Â·  Promoting human rights, including the protection of human rights defenders
Â· Monitoring and managing the response to humanitarian crises
Â· Strengthening global public health and global health security systems
Â· Mobilizing action on climate change 
Â· Promoting transparency, accountability, and efficiency in the UN system
Â· Advancing gender across the range of Mission Genevaâ€™s priority areas
Authorizing legislation, type and year of funding: FY23 Fulbright Hays Public Diplomacy Funds
Awards will be made to successful applicants subject to the availability of appropriated funds.
For further details about the program and how to apply, please see the full notice at the link below.</t>
  </si>
  <si>
    <t>Paleoclimate</t>
  </si>
  <si>
    <t xml:space="preserve">The goals of the paleoclimate program are to: (i) provide a baseline for present climate variability and future climate trends, and (ii) improve the understanding of the physical, chemical, and biological processes that influence climate variability and trends over the long-term.
_x000D_
Research topics include observational and modeling studies of past climate variability and its drivers and studies that develop new paleoclimate proxies and records. Competitive proposals will address specific aspects of scientific uncertainty for their proposed research.
_x000D_
The Paleoclimate program of the Division of the Atmospheric and Geospace Sciences together with other Divisions in the Geoscience Directorate have joined in coordinating and supporting the annual Paleo Perspectives on Present and Projected Climate (P4CLIMATE) competition with the objectives to support studies within two research themes: 1) Past Regional and Seasonal Climate; and 2) Past Climate Forcing, Sensitivity, and Feedbacks.
_x000D_
Researchers are encouraged to consider the P4CLIMATE competition as a possible source of support for their global change research. Since proposals eligible for funding in the P4CLIMATE competition are not eligible for funding in the Paleoclimate Program, researchers are strongly advised to contact the Directors of the Paleoclimate Program for guidance as to the suitability of their proposed research for either program.
_x000D_
The paleoclimate program strongly encourages proposals from:
_x000D_
_x000D_
Researchers at all career stages, including through the AGS Postdoctoral Research Fellowship program._x000D_
Researchers at all institution types, including MSIs, non-R1 institutions, and institutions in EPSCoR jurisdictions._x000D_
Researchers from traditionally underrepresented groups in Paleoclimate Science._x000D_
</t>
  </si>
  <si>
    <t>Atmospheric Chemistry</t>
  </si>
  <si>
    <t>The Program supports research on the sources, sinks, transport, and transformation of gases and aerosols in the atmosphere through models, observations, and experiments, including homogeneous and heterogeneous chemical reactions, emissions, deposition, atmospheric oxidation and photochemistry, aqueous-phase chemistry and aerosol processes; the formation of new particles and secondary organic aerosols, the modeling of atmospheric chemical processes, the study of chemical mechanisms in the atmosphere, optical properties of gases and aerosols, and improved methods for measuring the concentrations of trace species and their fluxes into and out of the atmosphere.The Program encourages principal investigators from a wide variety of institutions and backgrounds to submit proposals.</t>
  </si>
  <si>
    <t>Improving Undergraduate STEM Education: Directorate for STEM Education</t>
  </si>
  <si>
    <t>Synopsis of Program:
_x000D_
The fields of science, technology, engineering, and mathematics (STEM) hold much promise as sectors of the economy where we can expect to see continuous vigorous growth in the coming decades. STEM job creation is expected to outpace non-STEM job creation significantly, according to the Commerce Department, reflecting the importance of STEM knowledge to the US economy.
_x000D_
The National Science Foundation (NSF) plays a leadership role in developing and implementing efforts to enhance and improve STEM education in the United States. Through the NSF Improving Undergraduate STEM Education (IUSE) initiative, the agency continues to make a substantial commitment to the highest caliber undergraduate STEM education through a Foundation-wide framework of investments. The IUSE: EDU is a core NSF STEM education program that seeks to promote novel, creative, and transformative approaches to generating and using new knowledge about STEM teaching and learning to improve STEM education for undergraduate students. The program is open to application from all institutions of higher education and associated organizations. NSF places high value on educating students to be leaders and innovators in emerging and rapidly changing STEM fields as well as educating a scientifically literate public. In pursuit of this goal, IUSE: EDU supports projects that seek to bring recent advances in STEM knowledge into undergraduate education, that adapt, improve, and incorporate evidence-based practices into STEM teaching and learning, and that lay the groundwork for institutional improvement in STEM education. In addition to innovative work at the frontier of STEM education, this program also encourages replication of research studies at different types of institutions and with different student bodies to produce deeper knowledge about the effectiveness and transferability of findings.
_x000D_
IUSE: EDU also seeks to support projects that have high potential for broader societal impacts, including improved diversity of students and instructors participating in STEM education, professional development for instructors to ensure adoption of new and effective pedagogical techniques that meet the changing needs of students, and projects that promote institutional partnerships for collaborative research and development. IUSE: EDU especially welcomes proposals that will pair well with the efforts of NSF INCLUDES (https://www.nsf.gov/news/special_reports/nsfincludes/index.jsp) to develop STEM talent from all sectors and groups in our society.
_x000D_
For all the above objectives, the National Science Foundation invests primarily in evidence-based and knowledge-generating approaches to understand and improve STEM learning and learning environments, improve the diversity of STEM students and majors, and prepare STEM majors for the workforce. In addition to contributing to STEM education in the host institution(s), proposals should have the promise of adding more broadly to our understanding of effective teaching and learning practices.
_x000D_
The IUSE: EDU program features two tracks: (1) Engaged Student Learning and (2) Institutional and Community Transformation.</t>
  </si>
  <si>
    <t>Antarctic Research Not Requiring U.S. Antarctic Program (USAP) Field Support</t>
  </si>
  <si>
    <t>The Antarctic Sciences Section (ANT) of the Office of Polar Programs (OPP) supports cutting-edge research that:
_x000D_
_x000D_
Improves understanding of interactions among the Antarctic region and global systems;_x000D_
Expands fundamental knowledge of Antarctic systems, biota, and processes;_x000D_
Utilizes previously collected samples or focuses on non-field-supported themes;_x000D_
Utilizes the unique characteristics of the Antarctic region as a science observing platform; and_x000D_
Builds capacity and enhances diversity in the US workforce for polar-related science._x000D_
_x000D_
ANT encourages and supports non-fieldworkresearch that crosses and combines disciplinary perspectives and approaches from other fields.ANT encourages and supports research that uses existing data and samples and other research not requiring a presence in Antarctica. Proposals that require USAP support for field work must use solicitation NSF 23-509,Antarctic Research Requiring U.S. Antarctic Program (USAP) Support for Fieldwork.
_x000D_
Diversifying and broadening participation is a priority for the Antarctic Sciences Section. ANT encourages the leadership, partnership, and contributions of individuals who are members of groups underrepresented and/or underserved in all opportunities in STEM education programs and careers. ANT promotes and expects that all individuals, including those from groups that are underrepresented and/or underserved in STEM are treated equitably and inclusively throughout the Foundation s proposal and award process.
_x000D_
The Antarctic Sciences Section coordinates with programs across NSF and with other federal and international partners to co-review and co-fund Antarctic-related proposals as appropriate.</t>
  </si>
  <si>
    <t>Expanding AI Innovation through Capacity Building and Partnerships</t>
  </si>
  <si>
    <t xml:space="preserve">Others (see text field entitled "Additional Information on Eligibility" for clarification) *Who May Submit Proposals: Proposals may only be submitted by the following:
  - _x000D_
 Proposals may be submitted only by a minority-serving college or university meeting the criteria listed under 'Eligible Institutions of Higher Education' in this program solicitation. _x000D_
 Only eligible organizations that have received an official Program Officer Concurrence Email inviting a full proposal may submit a full proposal. To receive the invitation, potential proposers must submit a Concept Outline document and receive an official response (via email) from a cognizant Program Director.Please see section V.A for details. _x000D_
*Who May Serve as PI:
The Principal Investigator must hold a full-time faculty appointment or be a senior administrator at an eligible Institution as defined in the 'Eligible Institutions of Higher Education' section.
_x000D_
 In PARTNER proposals only, a co-PI must be identified to represent each partnering AI Institute. That co-PI must be verified by the Institute Director in the Institute Integration Plan as being among the senior personnel of the institute. </t>
  </si>
  <si>
    <t xml:space="preserve">_x000D_
The National Science Foundation and its partners support the continued growth of a broad and diverse interdisciplinary research community for the advancement of AI and AI-powered innovation, providing a unique opportunity to broadly promote the NSF vision and core values, especially inclusion and collaboration. TheExpanding AI Innovation through Capacity Building and Partnerships (ExpandAI) program aims to significantly broaden participation in AI research, education, and workforce development through capacity development projects and through partnerships within the National AI Research Institutes ecosystem.
_x000D_
</t>
  </si>
  <si>
    <t>Cultural Anthropology Program - Doctoral Dissertation Research Improvement Grants</t>
  </si>
  <si>
    <t>Others (see text field entitled "Additional Information on Eligibility" for clarification) *Who May Submit Proposals: Proposals may only be submitted by the following:
  -
Institutions of Higher Education (IHEs) -doctoral degreegranting IHEs accredited in, and having a campus located in, the U.S., acting on behalf of their faculty members.
*Who May Serve as PI:
The proposal must be submitted through regular organizational channels by the dissertation advisor(s) on behalf of the graduate student. The advisor is the principal investigator (PI); the student is the co-principal investigator (co-PI). The student must be the author of the proposal. The student must be enrolled at a U.S. institution, but need not be a U.S. citizen. To be eligible to serve as the PI, the advisor must be available during the period of submission, review, and performance of the research to relay information and communications from NSF to the student.</t>
  </si>
  <si>
    <t>The primary objective of the Cultural Anthropology Program is to support basic scientific research on the causes, consequences and complexities of human social and cultural variability.
_x000D_
Contemporary cultural anthropology is an arena in which diverse research traditions and methodologies are valid in investigations of human cultural variation. Recognizing the breadth of the field's contributions to science, the Cultural Anthropology Program welcomes proposals for empirically grounded, theoretically engaged and methodologically sophisticated research in all sub-fields of cultural anthropology. Because the National Science Foundation's mission is to support basic research, the NSF Cultural Anthropology Program does not fund research that takes as its primary goal improved clinical practice, humanistic understanding or applied policy. A proposal that applies anthropological methods to a social problem but does not propose how that problem provides an opportunity to make a theory-testing and/or theory-expanding contribution to anthropology will be returned without review.
_x000D_
Program research priorities include, but are not limited to, research that increases our understanding of:
_x000D_
_x000D_
Sociocultural drivers of critical anthropogenic processes such as deforestation, desertification, land cover change, urbanization and poverty._x000D_
Resilience and robustness of sociocultural systems._x000D_
Scientific principles underlying conflict, cooperation and altruism, as well as explanations of variation in culture, norms, behaviors and institutions._x000D_
Economy, culture, migration and globalization._x000D_
Variability and change in kinship and family norms and practices._x000D_
General cultural and social principles underlining the drivers of health outcomes and disease transmission._x000D_
Biocultural work that considers the nexus of human culture and its relationship with human biology._x000D_
Social regulation, governmentality and violence._x000D_
Origins of complexity in sociocultural systems._x000D_
Language and culture: orality and literacy, sociolinguistics and cognition._x000D_
Theoretically-informed approaches to co-production in relation to scientific understandings of human variability and environmental stewardship._x000D_
Mathematical and computational models of sociocultural systems such as social network analysis, agent-based models, multi-level models, and modes that integrate agent-based simulations and geographic information systems (GIS)._x000D_
_x000D_
As part of its effort to encourage and support projects that explicitly integrate education and basic research, CA provides support to enhance and improve the conduct of doctoral dissertation projects designed and carried out by doctoral students enrolled in U.S. institutions of higher education who are conducting scientific research that enhances basic scientific knowledge.</t>
  </si>
  <si>
    <t>Biological Anthropology Program Senior Research Awards</t>
  </si>
  <si>
    <t>Others (see text field entitled "Additional Information on Eligibility" for clarification) *Who May Serve as PI:
PIs and co-PIs must be researchers who have a Ph.D. or equivalent education and experience, sufficient to allow them to carry out independent basic research. PIs of senior proposals are encouraged to include undergraduate and graduate students in their research projects, but not as PI/co-PI or senior personnel.</t>
  </si>
  <si>
    <t>The Biological Anthropology Program seeks to advance scientific knowledge about the processes that have shaped biological diversity in living and fossil humans and their primate relatives through support of basic research on human and primate evolution, biological variation, and interactions between biology, behavior, and culture. The program supports a portfolio of research that demonstrates engagement with biological anthropological and evolutionary theory; includes diverse and interdisciplinary methods in field, laboratory and computational settings; encompasses multiple levels of analysis (e.g., molecular, organismal, population, ecosystem) and time scales from the short-term to evolutionary; and considers the ethical implications and societal impacts of the research. The program also supports a wide range of broader impact activities as part of research grants, including research outcomes with inherent benefit to society, efforts to broaden participation in science, technology, engineering, and mathematics (STEM) research, training and outreach activities and other evidence-based activities developed within the context of the mission, goals, and resources of the organizations and people involved.</t>
  </si>
  <si>
    <t>Biological Anthropology Program  -  Doctoral Dissertation Research Improvement Grants</t>
  </si>
  <si>
    <t>Others (see text field entitled "Additional Information on Eligibility" for clarification) *Who May Submit Proposals: Proposals may only be submitted by the following:
  -
Institutions of Higher Education (IHEs) - Ph.D. granting IHEs accredited in, and having a campus located in, the U.S. acting on behalf of their faculty members.
*Who May Serve as PI:
DDRIG proposals must be submitted through regular organizational channels by the dissertation advisor(s) on behalf of the graduate student. The principal investigator (PI) is the faculty member serving as the doctoral student's dissertation advisor and the co-principal investigator (Co-PI) is the doctoral student enrolled at the same U.S. IHE. If appropriate, and at the discretion of the submitting institution, an additional faculty advisor at the same or another institution may be listed as another Co-PI. The doctoral student must be the author of the proposal. At the time of the submission window, doctoral students are expected to be at the appropriate stage of their academic career to enable submission of a finalized dissertation proposal, most typically very near, or having advanced to candidacy for the Ph.D. degree.</t>
  </si>
  <si>
    <t>The Biological Anthropology Program seeks to advance scientific knowledge about the processes that have shaped biological diversity in living and fossil humans and their primate relatives through support of basic research on human and primate evolution, biological variation, and interactions between biology, behavior and culture. The program supports a portfolio of research that demonstrates engagement with biological anthropological and evolutionary theory; includes diverse and interdisciplinary methods in field, laboratory and computational settings; encompasses multiple levels of analysis (e.g., molecular, organismal, population, ecosystem) and time scales from the short-term to evolutionary; and considers the ethical implications and societal impacts of the research. The program also supports a wide range of broader impact activities as part of research grants, including research outcomes with inherent benefit to society, efforts to broaden participation in science, technology, engineering, and mathematics (STEM) training, research and outreach activities and other evidence-based activities developed within the context of the mission, goals and resources of the organizations and people involved.
_x000D_
The program contributes to the integration of education and basic research through support of dissertation projects conducted by doctoral students enrolled in U.S. universities. This solicitation specifically addresses the preparation and evaluation of proposals for Doctoral Dissertation Research Improvement Grants (DDRIG). Dissertation research projects in all of the subareas of biological anthropology are eligible for support through these grants. These awards are intended to enhance and improve the conduct of dissertation research by doctoral students who are pursuing research in biological anthropology that enhances basic scientific knowledge.</t>
  </si>
  <si>
    <t>Atmospheric and Geospace Sciences Postdoctoral Research Fellowships</t>
  </si>
  <si>
    <t>Others (see text field entitled "Additional Information on Eligibility" for clarification) *Who May Submit Proposals: Proposals may only be submitted by the following:
  -
AGS Postdoctoral Research Fellowship proposals are submitted to NSF directly by individuals who meet the eligibility criteria described below. Each individual (also referred to as proposer) must identify one or more scientific mentor(s) and host institution(s) in the proposal. Activities supported by the AGS Fellowship program may be conducted at any appropriate U.S. host institution as defined in the Program Description.
*Who May Serve as PI:
An individual is eligible to submit a proposal to the NSF AGS Postdoctoral Research Fellowship program if all the following criteria are met:
_x000D_
Individual eligibility criteria:
_x000D_
 _x000D_
 Be U.S. citizens (or nationals) or legally admitted permanent residents of the United States (i.e., have a  green card ) at the time the proposal is submitted. _x000D_
 Present research and professional development plans that fall within the purview of the Atmospheric and Geospace Science Sections within the Division of Atmospheric and Geospace Sciences at NSF ( a href= _x000D_
 Meet one of the following criteria: _x000D_
 _x000D_
_x000D_
_x000D_
 _x000D_
 be currently a graduate student; _x000D_
 _x000D_
 OR_x000D_
 _x000D_
 have held a PhD degree in a scientific or engineering field for no more than 2 years at time of submission; _x000D_
 _x000D_
 OR_x000D_
 _x000D_
 have less than the equivalent of 18 months full time employment at time of submission if more than 2 years have elapsed since the PhD degree was conferred. To affirm eligibility under this criterion, the proposer must include specific language in the Biographical Sketch. _x000D_
 _x000D_
_x000D_
_x000D_
_x000D_
Fellowship location criteria:
_x000D_
 _x000D_
 Proposers are encouraged to expand the network of collaborators and implement the Fellowship at an institution new to the proposer. However, proposers who choose to carry out the postdoctoral Fellowship at the institution where they received their PhD or their current institution at the time of submission must meet these three conditions: (1) have been at this institution for at least 12 months at the time of submission; (2) present a strong justification and clearly explain the benefits of this choice to their research and professional development goals; and (3) have two scientific mentors, one at the hosting institution and a second mentor at a different institution and/or department who is a new collaborator with the proposer. _x000D_
 _x000D_
 _x000D_
 National centers, facilities or institutes funded by other federal agencies, such as NASA, NOAA, EPA or the U.S. Department of Energy, are ineligible as host institutions. _x000D_
 _x000D_
If a proposer fails to meet any eligibility criterion, their proposal will be returned without review. Proposers uncertain about the eligibility requirements are strongly encouraged to contact a cognizant NSF Program Officer listed in this solicitation.
_x000D_
 span style= text-decoration: underline; Awardees must begin the Fellowship within 6 months of notification of an award . NSF review typically takes 3-6 months. If you are a current graduate student, please consider the review timeframe in your decision when to apply. Awardees who have not received their PhD at the time of proposal submission must present a form certifying their PhD prior to starting a Fellowship.
_x000D_
Proposals that fail to meet the above eligibility requirements will be returned without review.
_x000D_
By signing and submitting the proposal, the fellowship candidate is certifying that they meet the eligibility criteria specified in this program solicitation. Willful provision of false information in this request and its supporting documents or in reports required under an ensuing award is a criminal offense (U.S. Code, Title 18, Section 1001).</t>
  </si>
  <si>
    <t>The Division of Atmospheric and Geospace Sciences (AGS), awards Postdoctoral Research Fellowships (PRF) to highly qualified early career investigators to carry out an independent research program. The research plan of each Fellowship must address scientific questions within the scope of AGS disciplines. These disciplines include Atmospheric Chemistry (ATC), Climate and Large-Scale Dynamics (CLD), Paleoclimate (PC), and Physical and Dynamic Meteorology (PDM) in the Atmospheric Sciences, and Aeronomy (AER), Magnetospheric Physics (MAG), Solar Terrestrial (ST), and Space Weather Research (SWR) in the Geospace Sciences.
_x000D_
The AGS-PRF program supports researchers (also known as Fellows) for a period of up to 24 months with Fellowships that can be taken to the institution of their choice. The program is intended to recognize beginning investigators of significant potential and provide them with experiences in research that will broaden perspectives, facilitate interdisciplinary interactions, and help establish them in leadership positions within the Atmospheric and Geospace Sciences community. Fellowships are awards to individual Fellows, not institutions, and are administered by the Fellows.
_x000D_
AGS has made it a priority to address challenges in creating an inclusive geoscience discipline through activities that increase belonging, accessibility, justice, equity, diversity, and inclusion (BAJEDI). Proposers are encouraged to explicitly address this priority in their proposed activities. Proposers who are women, veterans, persons with disabilities, and underrepresented minorities in science, technology, engineering, and mathematics (STEM), or who have attended two-year colleges and minority-serving institutions for undergraduate or graduate school, or plan to conduct their Fellowship activities at one of these institutions (e.g. Historically Black Colleges and Universities, Tribal Colleges and Universities, Hispanic Serving Institutions, Alaska Native Serving Institutions, and Hawaiian Native and Pacific Islander Serving Institutions) are especially encouraged to apply.</t>
  </si>
  <si>
    <t>Diversity Centers for Genome Research (U54 Clinical Trials Optional)</t>
  </si>
  <si>
    <t>Others (see text field entitled "Additional Information on Eligibility" for clarification) Other Eligible Applicants include the following:
 Alaska Native and Native Hawaiian Serving Institutions; Asian American Native American Pacific Islander Serving Institutions (AANAPISISs); Eligible Agencies of the Federal Government; Hispanic-serving Institutions; Historically Black Colleges and Universities (HBCUs);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</si>
  <si>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Diversity Center for Genome Research (DCGR) program aims to establish Genomic Research Centers at Minority Serving Institutions (MSIs) as defined in Part 2, section III of the FOA.  The MSIs must have a mission to serve historically underrepresented populations in biomedical research that award doctorate degrees in the health professions or the sciences related to health, and have received an average of less than $50 million per year in NIH support and less than $25 million per year of R01 total cost of NIH support for the past three fiscal years. Each DCGR award will support a multi-investigator, interdisciplinary team to develop 2-3 interrelated, innovative genomic research projects. Each project should address one or more critical issues in genomics including: genomic technology and methods development; genome structure; genome function; genomics of disease; use and impact of genomic information in clinical care; genomic data science and computational genomics; ethical, legal, and social implications of genomic research; and/or genomics and health equity. Along with its scientific goals, the DCGR should expand the pool of diverse genomic scientists, clinician scientists, and researchers who can perform innovative genomics research by providing didactic, practicum and research activities and experiences that are aligned with the research projects.</t>
  </si>
  <si>
    <t>Diversity Centers for Genome Research (UG3/UH3 Clinical Trials Optional)</t>
  </si>
  <si>
    <t>Public and State controlled institutions of higher education Other Eligible Applicants include the following:
 Alaska Native and Native Hawaiian Serving Institutions; Asian American Native American Pacific Islander Serving Institutions (AANAPISISs); Eligible Agencies of the Federal Government; Hispanic-serving Institutions; Historically Black Colleges and Universities (HBCUs);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</si>
  <si>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Funding Opportunity PurposeThe full-scale Diversity Centers for Genome Research (DCGR) program aims to establish Genomic Research Centers at Minority Serving Institutions (MSIs) as defined in Part 2, section III of the FOA.  The MSIs must have a mission to serve historically underrepresented populations in biomedical research that award doctorate degrees in the health professions or the sciences related to health, and have received an average of less than $50 million per year in NIH support and less than $25 million per year of R01 total cost of NIH support for the past three fiscal years. The purpose of this FOA is to call for applications for UG3/UH3 cooperative agreements to support the development and planning for a multi-investigator, interdisciplinary team to develop administrative, genomic workforce development and community engagement cores and 2-3 interrelated, innovative genomic research projects that address one or more critical issues in genomics including: genomic technology and methods development; genome structure; genome function; genomics of disease; use and impact of genomic information in clinical care; genomic data science and computational genomics, ethical, legal, and social implications of genomic research (ELSI); and/or genomics and health equity. The outcome of the development and feasibility studies will be fully developed plans to carry out all activities of a full-scale Diversity Center for Genome Research. Along with its scientific goals, the DCGR should expand the pool of diverse genomic scientists, clinician scientists, and researchers who can perform innovative genomics research by providing didactic, practicum and research activities and experiences that are aligned with the research projects.</t>
  </si>
  <si>
    <t>Funding Opportunity Announcement DE-FOA-0002784: Exploratory Topics</t>
  </si>
  <si>
    <t>Unrestricted (i.e., open to any type of entity above), subject to any clarification in text field entitled "Additional Information on Eligibility" See Section III. of the FOA.</t>
  </si>
  <si>
    <t>To obtain a copy of the Funding Opportunity Announcement (FOA) please go to the ARPA-E website at https://arpa-e-foa.energy.gov.  To apply to this FOA, Applicants must register with and submit application materials through ARPA-E eXCHANGE (https://arpa-e-foa.energy.gov/Registration.aspx).  For detailed guidance on using ARPA-E eXCHANGE, please refer to the ARPA-E eXCHANGE User Guide (https://arpa-e-foa.energy.gov/Manuals.aspx).  ARPA-E will not review or consider concept papers submitted through other means. For problems with ARPA-E eXCHANGE, email ExchangeHelp@hq.doe.gov (with FOA name and number in the subject line)._x000D_
Questions about this FOA? Check the Frequently Asked Questions available at http://arpa-e.energy.gov/faq.  For questions that have not already been answered, email ARPA-E-CO@hq.doe.gov.  _x000D_
_x000D_
The purpose of this modification is to incorporate changes to Funding Opportunity Announcement. _x000D_
_x000D_
Accordingly, this modification:_x000D_
_x000D_
â€¢ Inserted new Exploratory Topic, Topic M: H2SENSE. See Table 1. Exploratory Topics, Appendix M, and Total Amounts to be awarded on Cover Page._x000D_
â€¢ Updated Language in Appendix L Section 5.</t>
  </si>
  <si>
    <t>Science and Technology Studies</t>
  </si>
  <si>
    <t>Others (see text field entitled "Additional Information on Eligibility" for clarification) *Who May Submit Proposals: Proposals may only be submitted by the following:
  -
Organization limit varies by the type of proposal:
_x000D_
 _x000D_
 Standard Research Grants and Grants for Collaborative Research: U.S. Institutions of Higher Education and U.S. Non-profit, Non-academic Organizations. _x000D_
 Scholars Awards: U.S. Institutions of Higher Education and U.S. Non-profit, Non-academic Organizations. _x000D_
 Professional Development Grants: U.S. Institutions of Higher Education and U.S. Non-profit, Non-academic Organizations. _x000D_
 Research Community Development Grants: U.S. Institutions of Higher Education and U.S. Non-profit, Non-academic Organizations. _x000D_
 Doctoral Dissertation Research Improvement Grants: U.S. Institutions of Higher Education. _x000D_
 ConferenceSupport: No limitations. _x000D_
 _x000D_
See the  a href= for a description of each eligible category of proposer
*Who May Serve as PI:
 br / PI eligibility limit varies by the type of proposal. See Section II. Program Description for detailed information about each type of proposal.</t>
  </si>
  <si>
    <t xml:space="preserve">Synopsis of Program:
_x000D_
Science and Technology Studies (STS) is an interdisciplinary field that investigates the conceptual foundations, historical developments and social contexts of science, technology, engineering and mathematics (STEM), including medical science. The STS program supports proposals across a broad spectrum of research that uses historical, philosophical and social scientific methods to investigate STEM theory and practice. STS research may be empirical or conceptual; specifically, it may focus on the intellectual, material or social facets of STEM including interdisciplinary studies of ethics, equity, governance and policy issues.
_x000D_
Additional Resources
_x000D_
_x000D_
SBE Office of Multidisciplinary Activities (SMA)_x000D_
Convergence Accelerator (C-Accel)_x000D_
</t>
  </si>
  <si>
    <t>Specialized Centers of Research Excellence (SCORE) on Sex Differences (U54 Clinical Trial Optional)</t>
  </si>
  <si>
    <t>Nonprofits that do not have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</si>
  <si>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ORWH and participating organizations and institutes seek applications for Specialized Centers of Research Excellence (SCORE) on Sex Differences. The Centers of Excellence will support interdisciplinary approaches to advance translational research on sex differences. Each SCORE institution should develop a research agenda bridging basic and clinical research underlying a health issue that is pertinent to improving the health of women.</t>
  </si>
  <si>
    <t>Advancing Protection and Care for Children in Adversity (APCCA) Alliance Annual Program Statement (APS)</t>
  </si>
  <si>
    <t>Others (see text field entitled "Additional Information on Eligibility" for clarification) Please refer to Section C of the APS for information on eligibility.</t>
  </si>
  <si>
    <t>Pursuant to the Foreign Assistance Act of 1961, as amended, the United States Government, as represented by the U.S. Agency for International Development (USAID), the Bureau for Development, Democracy, and Innovation (DDI), Inclusive Development Hub (ID) is announcing the Alliance to Advance Protection and Care for Children in Adversity (APCCA) Annual Program Statement (APS). Through the APCCA Alliance APS, USAID aims to address key objectives outlined in the U.S. Government (USG) Advancing Protection and Care for Children in Adversity Strategy.
The purpose of this APS is to disseminate information to prospective Applicants so they may develop and submit Concepts in response to future Addenda under this APS and ultimately to be considered for USAID funding. 
USAID DDI/ID anticipates awarding multiple grants and/or cooperative agreements as a result of this APS. However, issuance of this APS does not constitute an award commitment on the part of the U.S. Government, nor does it commit the USG to pay for any costs incurred in the preparation or submission of comments/suggestions, a concept, or an application. Concepts and Applications are submitted at the risk of the applicant. All preparation and submission costs are at the applicantâ€™s expense. The actual number of assistance awards, if any, under this APS is subject to the availability of funds and the interests and requirements of Operating Units (OUs) as well as the viability of eventual Full Applications received. There is no predefined minimum or maximum number of awards USAID OUs will support through this APS. 
The APCCA APS is unfunded and serves as a general umbrella APS, to which any USAID OU can post specific Addenda that are focused on challenges or priorities highlighted in the APS. An Addendum highlights a specific program or activity, where technical assistance or partnership opportunities are communicated by a USAID OU. Addenda will be the exclusive source of funding through this APS.
NOTE: This APS is not a Request for Applications or a Request for Proposals, and does not serve as a general request for APCCA concepts. USAID will only consider Concepts that are submitted in response to Addenda to this APS. USAID will not accept or consider any Concepts submitted in response to the general APCCA Alliance APS. Addenda will be posted on www.grants.gov.
Based on the submitted Concept(s) to specific Addenda opportunities, USAID will determine whether to engage in more in-depth and specific co-creation discussions aimed at further developing the proposed approach and will determine whether to request a Full Application. To be competitive under a particular Addendum to this umbrella APS, Concepts and Full Applications must be fully responsive to all directions under this APS document except when specifically noted otherwise in the Addendum. 
Please refer to the full APS document attached for full information and details about this opportunity.</t>
  </si>
  <si>
    <t>Mathematical Biology</t>
  </si>
  <si>
    <t xml:space="preserve">The Mathematical Biology Program supports research in areas of applied and computational mathematics with relevance to the biological sciences. Successful proposals must demonstrate mathematical innovation, biological relevance and significance, and strong integration between mathematics and biology.
_x000D_
Some projects of interest to the Mathematical Biology Program may include development of mathematical concepts and tools traditionally seen in other disciplinary programs within the Division of Mathematical Sciences, e.g., topology, probability, statistics, computational mathematics, etc. In general, if a proposal is appropriate for review by more than one NSF program, it is advisable to contact the program officers handling each program to determine when and where the proposal should be submitted and to facilitate the review process.
_x000D_
The Mathematical Biology Program regularly seeks joint reviews of proposals with programs in the Directorates of Biological Sciences and Engineering. Investigators are encouraged to discuss their project with program officers in relevant areas to determine if it should be considered by more than one program.
_x000D_
Research in Undergraduate Institutions (RUI)
_x000D_
Investigators submitting an RUI proposal should read the RUI solicitation (link below), as the rules for proposal format may deviate from the Proposal   Award Policies   Procedures Guide (PAPPG).
_x000D_
EAGER and RAPID Proposals
_x000D_
Prior to submitting proposals for EArly-concept Grants for Exploratory Research (EAGER) or Rapid Response Research (RAPID), Investigators must contact the cognizant program directors.
_x000D_
Requests for Award Supplements
_x000D_
Principal Investigatorsare encouraged to contact the cognizant program director prior to submission of a proposal for an award supplement. See the PAPPG for more information.
_x000D_
Conferences
_x000D_
Investigators should carefully read the program solicitation, "Conferences and Workshops in the Mathematical Sciences," (link below) to obtain important information regarding the substance of proposals for conferences, workshops, summer/winter schools, and similar activities.
_x000D_
To facilitate timely notification of the availability of support:
_x000D_
_x000D_
proposals for conferences, workshops, etc., to be held in the US must be submitted 8 months in advance of the conference date;_x000D_
proposals to support group travel to meetings outside the US must be submitted 12 months in advance of the meeting date._x000D_
</t>
  </si>
  <si>
    <t>Computational and Data-Enabled Science and Engineering in Mathematical and Statistical Sciences</t>
  </si>
  <si>
    <t>The CDS E-MSS program accepts proposals that engage with the mathematical and statistical challenges presented by (1) the ever-expanding role of computational experimentation, modeling, and simulation on the one hand, and (2) the explosion in production and analysis of digital data from experimental and observational sources on the other. The goal of the program is to promote the creation and development of the next generation of mathematical and statistical software tools, and the theory underpinning those tools, that will be essential for addressing these challenges.
_x000D_
The research supported by the CDS E-MSS program will aim to advance mathematics or statistics in a significant way and will address computational or big-data challenges. Proposals of interest to the program must include a Principal Investigator or co-Principal Investigator who is a researcher in an area supported by the Division of Mathematical Sciences. The program welcomes submission of proposals that include multidisciplinary collaborations or provide opportunities for training through research involvement of junior mathematicians or statisticians.This program is part of the wider NSFComputational and Data-enabled Science and Engineering (CDS E) enterprise.</t>
  </si>
  <si>
    <t>Pilot Projects Investigating Understudied Proteins Associated with Rare Diseases (R03 Clinical Trial Not Allowed)</t>
  </si>
  <si>
    <t>County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</si>
  <si>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purpose of this funding opportunity announcement (FOA) is to solicit applications for pilot projects to elucidate a role for understudied proteins associated with rare diseases. Awards will support generation of preliminary data and/or tools around eligible understudied protein(s).</t>
  </si>
  <si>
    <t>Building Synthetic Microbial Communities for Biology, Mitigating Climate Change, Sustainability and Biotechnology</t>
  </si>
  <si>
    <t>Microbes and communities of microbes have remarkable genetic, physiological and biochemical diversity, allowing them to flourish in environments all over the planet and in a variety of substrates and hosts. Given their relative importance to ecosystems around the world, to the economy and to health, researchers have studied microbial systems extensively and have a better understanding of their capabilities and impacts on hosts and the environment. In recent years, researchers have increasingly turned to microbes and their diverse capabilities for bioremediation and applications in biotechnology, agriculture, and medicine. Because of advances in molecular biology, synthetic biology and bioengineering, researchers now have the ability to assemble synthetic microbial communities that have novel compositions, genetics and phenotypes and to use these communities to address both fundamental biological questions and a range of societal problems. The goal of this solicitation is to support research that addresses one or more of the three themes: 1) define the underlying mechanisms or rules that drive the formation, maintenance or evolution of synthetic microbial communities, 2) use synthetic microbial communities to address fundamental biological questions, including questions in molecular biology, cellular/organismal biology, ecology and evolution and/or 3) build synthetic communities with biotechnology, bioeconomy or environmental engineering applications, including but not limited to the production of novel biorenewable chemicals, biodegradation of recalcitrant or  forever chemicals,  enabling a circular bioeconomy, fostering sustainable agriculture and mitigating the impacts of climate change. For theme 3, the emphasis should be on designing communities with novel capabilities and understanding the underlying mechanisms that lead to these novel capabilities.
_x000D_
Proposals must address one or more of the three themes noted above. Highest funding priority is given to proposals that have outstanding intellectual merit and broader impacts, while proposals with weaknesses in either category (or those that are perceived as likely to have an incremental impact) will not be competitive. The most competitive broader impacts include assessment plans. Well-conceived broader impacts activities take time and resources; thus, proposers are encouraged to include appropriate costs for broader impacts in the budget.
_x000D_
To better understand the societal benefits and risks, as well as the potential for misuse or unintended damage to natural biological systems, synthetic microbial communities proposals should include a careful consideration of the social, ethical, and biosafety/security dimensions of the research. Investigators may choose to address these issues either as part of intellectual merit or broader impacts.
_x000D_
Reproducibility in research leads to data that is amenable to more powerful analysis and the potential for reuse of data and greater generation of knowledge. Reproducibility in biological research that is prone to context dependent biological variation presents a unique challenge for the synthetic microbial communities researchers. Investigators must follow or advance best practices in sample collection and preparation, experimental design, data analysis, model generation, and/or validation of mathematical and computational methods to produce scientifically defensible results.</t>
  </si>
  <si>
    <t>Inclusion IIb</t>
  </si>
  <si>
    <t>The United States Agency for International Development (USAID) in Vietnam (USAID/Vietnam) is seeking applications for a Cooperative Agreement from qualified entities to implement the â€œInclusion IIbâ€ program. The project aims to improve the quality of life of persons with disabilities. Under this NOFO, selected applicant(s) will be working in both provinces of Binh Dinh and Kon Tum (Vietnam).</t>
  </si>
  <si>
    <t>Division of Chemistry: Disciplinary Research Programs: No Deadline Pilot</t>
  </si>
  <si>
    <t xml:space="preserve">With this solicitation, the Division of Chemistry is piloting the removal of deadlines for the submission of proposals to the CLP, CSDM-A and CTMC Programs.
_x000D_
The no-deadline pilot seeks to assess the benefits and challenges of removing deadlines in proposal submission for the chemistry research community: the removal of deadlines on proposal submission is intended to allow principal investigators (PIs) more flexibility and better facilitate interdisciplinary research. It may, however, have unanticipated consequences for PIs, reviewers, and institutions.
_x000D_
This solicitation applies only to the Chemistry of Life Processes (CLP), Chemical Structure, Dynamics, and Mechanisms-A (CSDM-A) and Chemical Theory, Models and Computational Methods (CTMC) programs. Other than the following exceptions, all proposals submitted to the CLP, CSDM-A, and CTMC programs must be submitted through this solicitation, otherwise they will be returned without review.
_x000D_
Exceptions:
_x000D_
_x000D_
Faculty Early Career Development Program (CAREER) proposals should be submitted through the CAREER solicitation (https://www.nsf.gov/funding/pgm_summ.jsp?pims_id=503214) by the CAREER deadline date specified._x000D_
Facilitating Research at Primarily Undergraduate Institutions: Research in Undergraduate Institutions (RUI) and Research Opportunity Awards (ROA) proposals should be submitted through the RUI/ROA solicitation (https://www.nsf.gov/funding/pgm_summ.jsp?pims_id=5518). In addition to the requirements of the RUI program, proposals should follow the guidance in this solicitation. Proposals submitted through the RUI/ROA solicitation to the CLP, CSDM-A, and CTMC programs can be submitted at any time starting September 1, 2022._x000D_
Proposals for Early-concept Grants for Exploratory Research (EAGER), Grants for Rapid Response Research (RAPID), Research Advanced by Interdisciplinary Science and Engineering (RAISE), and conferences can be submitted anytime after consultation with the cognizant NSF Program Officer._x000D_
Supplemental funding requeststo existing grantscan be submitted anytime after consultation with the cognizant NSF Program Officer.Until this capability is implemented in Research.gov, supplemental funding requestsmust still be prepared and submitted via FastLane._x000D_
</t>
  </si>
  <si>
    <t>EXPANDING PARTNERSHIPS AND ADVANCING LOCALIZATION (EPAL)</t>
  </si>
  <si>
    <t>USAID-HON</t>
  </si>
  <si>
    <t>Honduras USAID-Tegucigalpa</t>
  </si>
  <si>
    <t>Others (see text field entitled "Additional Information on Eligibility" for clarification) Eligibility is restricted to Local Entities only.</t>
  </si>
  <si>
    <t>The Localization APS will facilitate partnerships with local organizations to advance the implementation of the Mission's Country Development Cooperation Strategy (CDCS) and the Root Causes Strategy in Honduras. USAID/Honduras will engage, strengthen, and fund local organizations to address priorities in economic growth, education, citizen security, and democracy and governance. This APS seeks to empower local actors to lead the identification of challenges and propose and implement solutions in their own context.</t>
  </si>
  <si>
    <t>Sedimentary Geology and Paleobiology</t>
  </si>
  <si>
    <t>Sedimentary Geology and Paleobiology supports innovative research that advances understanding of the deep-time sedimentarycrust and investigates environmental change and evolution of the biosphere through the pre-Holocene geologic record. The program seeks to fundprojects that focus on: (1) the evolution of life, ecology, environments, and biogeography based on the study of fossils, sediments and/or geochemical proxies; (2) geological processes forming and shaping the Earth's sedimentary lithosphere  including the study of mechanisms leading to rich organic and inorganic resources locked in rock sequences; (3) new geochronological projects aiming to measuretherate andsequenceofeventsofpre-Holocenesedimentary and biological (fossil) processes; and (4) the production, transportation,anddepositionofphysical, bioclasticandchemicalsediments of the geologic record.Projects that are focused on the study of modern and/or Holocene sedimentary, geochemical and/or biological samples should clearly address how the project will lead to understanding of deep-time (pre-Holocene) geological, environmental, and biological (fossil) processes.</t>
  </si>
  <si>
    <t>Young Southeast Asian Leaders Initiative - Mekong Leadership Program</t>
  </si>
  <si>
    <t>Others (see text field entitled "Additional Information on Eligibility" for clarification) Organizations eligible to apply under this NOFO includes non-profit or for-profit non-governmental organizations, inclusive of, foundations, colleges and universities, private businesses and associations and excludes public international organizations and governmental organizations.</t>
  </si>
  <si>
    <t>The United States Agency for International Development in Vietnam (USAID/Vietnam) is seeking applications from qualified entities to implement the Young Southeast Asian Leaders Initiative (YSEALI) - Mekong Leadership Program. The overall objective of this activity is to expand the YSEALI with a particular focus on the Mekong sub-region. Drawing on experience from the Young African Leaders Initiative - Regional Leadership Centers, this activity proposes to establish a YSEALI - Mekong Leadership Program (YSEALI-MLP).</t>
  </si>
  <si>
    <t>Tactical Behaviors for Autonomous Maneuver</t>
  </si>
  <si>
    <t>Others (see text field entitled "Additional Information on Eligibility" for clarification) It is our goal for the program to include a diverse group of Applicants with varied long-term interests.Applicants may be institutions of higher education, for-profit, or non-profit organizations. FederallyFunded Research and Development Centers (FFRDC) may propose as well, with effort as allowed bytheir sponsoring agency and in accordance with their sponsoring agency policy. Proposals may consistof teams from any combination of organizations (e.g., prime and subawardees), but this is not arequirement for award and award will only be made to a single entity.</t>
  </si>
  <si>
    <t>**UPDATE 5 APRIL 2024: The proposal submission date has been updated to 24 April 2024. The FOA has been amended to reflect this submission date and include a Question and Answer document based on questions received from interested applicants. Other than the updated proposal submission date in the FOA, the actual FOA Amendment has not been changed. However, the answers provided in the Q A document are considered part of the FOA Amendment.**
**CYCLE 2 UPDATE 20 MARCH 2024 - THE OPPORTUNITY WEBINAR FOR CYCLE 2 WILL BE HELD ONLINE VIA MS TEAMS AT 1500 EDT ON 22 MARCH 2024 AT THE FOLLOWING LINK:
https://dod.teams.microsoft.us/l/meetup-join/19%3adod%3ameeting_5fa41fe6fa874484b473d8a6ba7921c6%40thread.v2/0?context=%7b%22Tid%22%3a%22fae6d70f-954b-4811-92b6-0530d6f84c43%22%2c%22Oid%22%3a%22e9f6fc39-8f22-44e5-8bd0-64f0cde32305%22%2c%22IsBroadcastMeeting%22%3atrue%7d
**UPDATE 14 MARCH 2024 - CYCLE 2 HAS BEEN POSTED TO THE ANNOUNCEMENT. PLEASE REVIEW THE UPDATED ANNOUNCEMENT IN FULL FOR SUBMISSION TIME, UPDATED TOPIC, AND FUNDING AMOUNT AND SCHEDULE CHANGES FROM CYCLE 1**
TACTICAL BEHAVIORS FOR AUTONOMOUS MANEUVER COLLABORATIVE RESEARCH PROGRAM (TBAM-CRP)
Future Army forces will be called upon to operate and maneuver in multi-domain
operations (MDO), against a modern and capable peer adversary. The battlefield of the future
may impose additional constraints on maneuver forces such as disruption in communication as
well as positioning services. To field a highly capable fighting force in this future battlefield,
novel tactics and doctrines leveraging nascent technologies in robotics and autonomous systems
(RAS) will need to be developed. Teams of RAS will serve an increasingly critical role in the
future force to deliver situational awareness, defend key locations or positions, or take point in
dynamic and hazardous situations. Resilience to disruptions, failures, or unexpected scenarios, is
a key quality for teams of RAS to operate alongside other future Army forces. The US Army
Combat Capabilities Development Command (DEVCOM) Army Research Laboratory (ARL) is
focused on developing fundamental understanding and informing the art-of-the-possible for
warfighter concepts through research to greatly improve the scope of mission capabilities of
teams of RAS, develop robust and resilient approaches to plan under extreme conditions of
uncertainty, to learn coordinated strategies for groups of agents to achieve a common objective,
all within a complex maneuver environment including adversaries. The Tactical Behaviors for
Autonomous Maneuver Collaborative Research Program (TBAM-CRP) is focused on developing
and experimentally evaluating coordinated and individual behaviors for small groups of
autonomous agents to learn doctrinal as well as novel tactics for maneuvering in military relevant
environments. The TBAM-CRP will leverage developments in other internal and extramural
programs as well as identify new research directions to find novel solutions to these maneuver
problems in analogical simulations representing complex realistic terrain.
The Tactical Behaviors for Autonomous Maneuver Collaborative Research Program (TBAM-CRP) will
consist of a series of sprint efforts executed with annual program reviews. Each topic will be focused on
addressing a different set of scientific areas which will support the research aims of an associated ARL
researcher from a related internal essential research program (ERP) or mission-funded program.
The TBAM-CRP has been developed in coordination with other related ARL-funded collaborative efforts
(see descriptions of ARL collaborative alliances at https://www.arl.army.mil/business/collaborativealliances/)
and shares a common vision of highly collaborative academia-industry-government
partnerships; however, it will be executed with a program model adapted from the Scalable, Adaptive,
and Resilient Autonomy (SARA), which established a new paradigm for collaborative research. Some
key properties of this new approach are described below:
â€¢ TBAM-CRP sprint topics will be offered on a two-year cycle. Proposals will be solicited for a
possible two-year period structured as a first-year pilot followed by a second-year option where
the option may be awarded based upon progress assessed at an annual review. The FOA will be
amended annually to identify a specific problem statement and scope for that specific cycle. The
topics for each cycle will be chosen to address the long-term program goal.
â€¢ Five new topics (Cycles 1-5) are expected in FY22, 24, 26, 28, 30. Each topic will be carefully
chosen based on the previous accomplishments in the prior cycle(s), the development of new
technologies and capabilities in the broader research and development communities, and the
Armyâ€™s evolving needs for future capabilities.
â€¢ For each topic, funding will be provided to those Recipients selected under a cooperative
agreement (CA).
â€¢ Enhanced Research Program funding from ARL or Other Government Agencies (OGAs) may
become available during a cycle which provides a mechanism for growth and enhancement within
the TBAM-CRP. A proposal should not include any discussion of the Enhanced Research
Program. Recipients receiving a CA will be notified and provided details if the opportunity for
Enhanced Research Program funding becomes available during their award period of
performance.
â€¢ There is no limitation on the place of performance, although on-site collaboration at ARL
facilities and with ARL researchers as well as with other Recipients are encouraged. Research
outcomes in this program must, at the very least, be demonstrated in sophisticated simulations of
relevant environments. Together with ARL collaborators, these results may be adapted for higher
TRL experimentation on surrogate platforms at ARL test facilities such as the Robotics Research
Collaboration Campus (R2C2) at Graces Quarters, Aberdeen Proving Ground, Maryland.
â€¢ Recipients will be furnished with access to the ARL Autonomy Stack software suite as well as all
relevant simulation tools and multi-agent learning support.
â€¢ Recipients will be provided with information about the current state of the Autonomous Systems
Enterprise (ASE) with an overview of developments in the associated collaborative research
alliances including Distributed and Collaborative Intelligent Systems and Technology (DCIST),
Scalable, Adaptive, and Resilient Autonomy (SARA), as well as internal ARL essential research
programs including the AI for Maneuver and Mobility (AIMM), Emerging Overmatch
Technologies (EOT), and Versatile Tactical Power and Propulsion (VICTOR). Capabilities
demonstrated in simulation should reflect significant appropriate developments. This midpoint
review is expected to take place as a mini symposium where Recipients can share results with
one another along with the ARL community to foster further collaboration.
â€¢ At the end of the second year, a capstone demonstration will be executed by those Recipients
receiving an option to their award in a set of simulated relevant environments, either those
environment scenarios provided by the Government and other program performers, or optionally
of a specific environment developed by the Recipient to exhibit their developed capability. Any
system level capability demonstration that can be made with the internal ARL collaborator or
description of capability development and program contribution can also be made at this time.
These system demonstrations are expected to coincide to foster further integration and adoption
with related internal research programs as well as partner organizations from within the
DEVCOM, other Army and DoD service branches and agencies, in addition to other government
agencies.
Proposals that follow the requirements of the FOA will be evaluated in accordance with merit-based,
competitive procedures. These procedures will include evaluation factors and an adjectival and color
rating system. A review team, consisting of a qualified group of Government scientists and managers
will evaluate the compliant proposals and provide the results of that evaluation to the decision-maker for
the Government. Relevant internal research program materials approved for public release and contact
information will be provided to potential proposers during introductory presentations to help facilitate
identification of collaboration between proposers and individual ARL researchers or internal research
programs. Additional connections to ARL programs can be identified during the proposal review process.
Eligible applicants under this FOA include institutions of higher education, nonprofit organizations, and
for-profit organizations (i.e., large and small businesses) for scientific research in the knowledge domains
outlined throughout this Funding Opportunity. Federally Funded Research and Development Centers
(FFRDC) may propose as well, with effort as allowed by their sponsoring agency and in accordance with
their sponsoring agency policy.</t>
  </si>
  <si>
    <t>Opportunities for Promoting Understanding through Synthesis</t>
  </si>
  <si>
    <t xml:space="preserve">Synopsis of Program:
_x000D_
_x000D_
The OPUS program is targeted to individuals, typically at later-career stages, whohave contributed significant insights to a field or body of research over time. The program provides an opportunity to revisit and synthesize that prior research into a unique, integrated product(s) useful to the scientific community, now and in the future.
_x000D_
All four clusters within the Division of Environmental Biology (Ecosystem Science, Evolutionary Processes, Population and Community Ecology, and Systematics and Biodiversity Science) encourage the submission of OPUS proposals.
_x000D_
</t>
  </si>
  <si>
    <t>Faculty Early Career Development Program</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</si>
  <si>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A Principal Investigator (PI) may submit only one CAREER proposal per annual competition. In addition, a Principal Investigator may not participate in more than three CAREER competitions. Proposals that are not reviewed (i.e., are withdrawn before review or are returned without review) do not count toward the three-competition limit.</t>
  </si>
  <si>
    <t>CAREER:The Faculty Early Career Development (CAREER) Program is a Foundation-wide activity that offers the National Science Foundation's most prestigious awards in support of early-career faculty who have the potential to serve as academic role models in research and education and to lead advances in the mission of their department or organization. Activities pursued by early-career faculty should build a firm foundation for a lifetime of leadership in integrating education and research. NSF encourages submission of CAREER proposals from early-career faculty at all CAREER-eligible organizations and especially encourages women, members of underrepresented minority groups, and persons with disabilities to apply.
_x000D_
PECASE:Each year NSF selects nominees for the Presidential Early Career Awards for Scientists and Engineers (PECASE) from among the most meritorious recent CAREER awardees.Selection for this award is based onthreeimportant criteria:The criteria are 1) performance of innovative research at the frontiers of science, engineering, and technology that is relevant to the mission of the sponsoring organization or agency, 2) community service demonstrated through scientific leadership, education or community outreach, and 3)commitment to STEM equity, diversity, accessibility, and/or inclusion.These awards foster innovative developments in science and technology, increase awareness of careers in science and engineering, give recognition to the scientific missions of the participating agencies, enhance connections between fundamental research and national goals, and highlight the importance of science and technology for the Nation s future. Individuals cannot apply for PECASE. These awards are initiated by the participating federal agencies. At NSF, up to twenty-six nominees for this award are selected each year from among the PECASE-eligible CAREER awardees most likely to become the leaders of academic research and education in the twenty-first century. The White House Office of Science and Technology Policy makes the final selection and announcement of the awardees.</t>
  </si>
  <si>
    <t>Innovative Technology Experiences for Students and Teachers</t>
  </si>
  <si>
    <t xml:space="preserve">_x000D_
The economic prosperity and national security of the United States is reliant upon the nation s capacity to remain globally competitive in the technological and computational fields. The nation s competitiveness, however, is contingent upon its capacity to educate the next generation. Learning and teaching must be reimagined to better represent the diverse composition and perspective of our nation s people and be expanded to encompass all pathways for students to receive a high-quality STEM education. A highly proficient and diverse technological and computational STEM workforce is needed to advance new discoveries in science, engineering, and technology in the service of the nation. The ITEST program is one way NSF is responding to the challenge and opportunity to provide all students with equitable access to a STEM education related to the technical and scientific workforce.
_x000D_
ITEST is an applied research and development program with goals to advance the equitable and inclusive integration of technology in the learning and teaching of science, technology, engineering, or mathematics (STEM) from pre-kindergarten through high school. The program s objective is to support all students  acquisition of the foundational preparation in STEM disciplines. Preparation for the current and future workforce is increasingly dependent upon the application and use of technology and computing.
_x000D_
Proposed ITEST projects are expected to (1) engage students in technology-rich learning to develop disciplinary and/or transdisciplinary STEM content knowledge, including skills in data literacy and evidence-based decision-making and reasoning; (2) prioritize the full inclusion of groups who have been underrepresented and/or underserved, including but not limited to Blacks andAfrican Americans, Alaska Natives, Hispanics and Latinos, Native Americans, Native Hawaiians, Native Pacific Islanders, persons with disabilities, neurodiverse students, and women in the STEM andinformation and communication technologies (ICT)workforce; (3) motivate students to pursue appropriate education pathways to technology-rich careers; and (4) leverage strategic and community partnerships to expand education pathways in communities through public and private partnerships and collaborations.
_x000D_
ITEST supports three types of projects: (1) Exploring Theory and Design Principles (ETD); (2) Developing and Testing Innovations (DTI); and (3) Scaling, Expanding, and Iterating Innovations (SEI). ITEST also supports Synthesis and Conference/Workshop proposals. ITEST will support one 5-year resource center starting in FY23. All ITEST proposals must address how the proposed research and development project meets the ITEST program Pillars: 1) Innovative Use of Technologies in Learning and Teaching, 2) Partnerships for Career and Workforce Preparation, and 3) Strategies for Equity in STEM Education (Program Description, section A.). All proposals must also include high-quality research design, a section describing how the project meets the Solicitation-Specific Review Criteria and plans for project evaluation and dissemination of findings (Program Description, section B: Requirements for Research Proposals.)
_x000D_
_x000D_
</t>
  </si>
  <si>
    <t>Paul Calabresi Career Development Award for Clinical Oncology (K12 Clinical Trial Optional)</t>
  </si>
  <si>
    <t>Public housing authorities/Indian housing authorities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</si>
  <si>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purpose of the Paul Calabresi Career Development Award for Clinical Oncology (PCACO) is to increase the number of clinician-scientists trained in clinical and translational cancer research, and to promote their career development as cancer researchers.</t>
  </si>
  <si>
    <t>Small Research Grants for Analysis, Curation, and/or Sharing of Down syndrome-related Research Data for the INCLUDE Project (R03 Clinical Trial Not Allowed)</t>
  </si>
  <si>
    <t>Independent school districts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</si>
  <si>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NIH INvestigation of Co-occurring conditions across the Lifespan to Understand Down syndromE (INCLUDE) Project seeks to improve health and quality-of-life for individuals with Down syndrome. This FOA is intended to support meritorious small research projects focused on analyses of genomics other -omics, clinical and phenotypic datasets related to Down syndrome research, with an emphasis on elucidating the underlying etiologies of risk and resiliencies to co-occurring health conditions. Development of approaches, tools, or algorithms appropriate for analyzing data relevant to Down syndrome and facilitating data sharing within the research community through the INCLUDE Data Hub may also be proposed.</t>
  </si>
  <si>
    <t>Transformative Research Award for the INCLUDE (Investigation of Co-occurring Conditions across the Lifespan to Understand Down syndrome) Project (R01 Clinical Trial Not Allowed)</t>
  </si>
  <si>
    <t>County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</si>
  <si>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NIH INvestigation of Co-occurring conditions across the Lifespan to Understand Down syndromE (INCLUDE) Project seeks to improve health and quality-of-life for individuals with Down syndrome. This Funding Opportunity Announcement (FOA) is soliciting Transformative Research Award applications to support individual scientists or groups of scientists proposing groundbreaking, exceptionally innovative, original, and/or unconventional research that has the potential to create new scientific paradigms, establish entirely new and improved clinical approaches, or develop transformative technologies related to Down syndrome. For the program to support the best possible researchers and research, applications are sought which reflect the full diversity of the nations research workforce. Individuals from diverse backgrounds, including those from underrepresented groups and from the full spectrum of eligible institutions in all geographic locations are strongly encouraged to apply to this Funding Opportunity Announcement. Applications are welcome in all topics relevant to Down syndrome-related research or its co-occurring conditions. No preliminary data are required. Projects must clearly demonstrate, based on the strength of the logic, a compelling potential to produce a major impact in research related to Down syndrome.</t>
  </si>
  <si>
    <t>Clinical Trials Development for Co-Occurring Conditions in Individuals with Down syndrome: Phased Awards for INCLUDE (R61/R33 Clinical Trial Required)</t>
  </si>
  <si>
    <t>Public housing authorities/Indian housing authorities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</si>
  <si>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NIH INvestigation of Co-occurring conditions across the Lifespan to Understand Down syndromE (INCLUDE) Project seeks to improve health and quality-of-life for individuals with Down syndrome. This Funding Opportunity Announcement (FOA) encourages Exploratory/Developmental Phased Innovation (R61/R33) grant applications to support development of clinical trials to treat critical and co-occurring health conditions in individuals with Down syndrome. The proposed research aims should be milestone-driven. The total project period for an application submitted in response to this FOA may not exceed five years. This FOA provides support for up to two years (R61 phase) for preliminary/developmental/planning studies, followed by possible transition to clinical trial support (R33) of up to three years, although the total duration of the award may not exceed five years. This FOA requires measurable R61 milestones.</t>
  </si>
  <si>
    <t>INvestigation of Co-occurring conditions across the Lifespan to Understand Down syndromE (INCLUDE) Clinical Trial Readiness (R21 Clinical Trial Not Allowed)</t>
  </si>
  <si>
    <t>Nonprofits that do not have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</si>
  <si>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NIH INvestigation of Co-occurring conditions across the Lifespan to Understand Down syndromE (INCLUDE) Project seeks to improve health and quality-of-life for individuals with Down syndrome. This Funding Opportunity Announcement (FOA) invites researchers to submit applications for support of clinical projects that address critical needs for clinical trial readiness in Down syndrome. This initiative seeks applications that are intended to facilitate Down syndrome research by enabling efficient and effective movement of candidate therapeutics or diagnostics towards clinical trials for Down syndrome and its co-occurring conditions, and to increase their likelihood of success through development and testing of biomarkers and clinical outcome assessment measures, development and testing of novel trial methods and recruitment strategies, or by defining the presentation and course of the co-occurring conditions in individuals with Down syndrome to enable the design of future clinical trials.</t>
  </si>
  <si>
    <t>Vietnam Action Against Plastic Pollution</t>
  </si>
  <si>
    <t>The United States Agency for International Development in Vietnam (USAID/Vietnam) is seeking applications from qualified entities to implement the "Vietnam Action Against Plastic Pollution" activity. The overall objective of this activity is to reduce ocean plastic pollution at its source in Vietnam through strategic approaches such as convening stakeholdersâ€™ power, promoting the creation and implementation of data-driven policies, enhancing knowledge and sharing learning, promoting appropriately scaled technology and solutions, and providing technical expertise and building capacity of local governments to manage waste at its source and prevent plastic pollution in our oceans.</t>
  </si>
  <si>
    <t>Research Program Award (R35 Clinical Trial Optional)</t>
  </si>
  <si>
    <t>State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</si>
  <si>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purpose of the NINDS Research Program Award (RPA) is to provide longer-term support, and increased freedom and flexibility, to Program Directors (PDs)/Principal Investigators (PIs), to allow them to redirect their time away from the administrative burden of writing and managing multiple grant applications and towards engaging in the lab. This RPA affords investigators at most career stages the opportunity to advance their long-term research goals, rigorously explore exciting research opportunities, and mentor students and postdoctorates, which support and align with the mission of NINDS. RPAs will support the overall research programs of NINDS-funded investigators for up to 8 years, at a level commensurate with a PD/PIs recent NINDS support (Part 2, Section II). This funding stability will provide eligible investigators increased security, allowing them to undertake research projects that require a longer timeframe or to embark upon research that breaks new ground. Research activities outside of the NINDS mission, or traditionally supported by another NIH Institute or Center, will not be considered through this program. Benefits of the RPA include: A more stable funding environment, facilitating the pursuit of longer-term research goals; Flexible funding, enabling investigators to pursue research opportunities as they arise, not tied to specific aims; Reduced time spent writing grant applications and managing multiple grant awards, allowing investigators to spend more time conducting and overseeing research; More time for PDs/PIs to mentor and foster a diverse workforce in their laboratories. NINDS is committed to enhancing the diversity and inclusiveness of the neuroscience workforce. A diverse NIH-supported scientific workforce, including individuals from underrepresented groups, fosters scientific innovation, enhances global competitiveness, contributes to robust learning environments, and improves the quality of the research. See the Notice of NIH</t>
  </si>
  <si>
    <t>Dynamics, Control and Systems Diagnostics</t>
  </si>
  <si>
    <t>The Dynamics, Control and Systems Diagnostics (DCSD) program promotes the fundamental science and engineering of dynamic systems to advance solutions to urgent societal problems. Such problems include mitigating the impacts of climate change; responding to epidemics, cyber-attacks, extreme weather, and other natural and man-made events; promoting efficient and equitable production and distribution of resources; developing resilient infrastructure; improving the experience of work and learning; and meeting the challenges of aging and illness.
_x000D_
Recognizing that dynamic systems lie at the heart of current and emerging imperatives, the DCSD program invites proposals that match innovative research in dynamic systems with compelling applications. DCSD also welcomes research that demonstrates how these applications inform our understanding of dynamic systems, and how foundational knowledge must be further advanced to broaden the usefulness of dynamic systems approaches to new areas of application.
_x000D_
DCSD proposals should articulate clear Intellectual Merit through the advancement of knowledge in one of the following foundational areas:
_x000D_
_x000D_
Modeling: mathematical frameworks for studying the behavior of dynamic systems._x000D_
Analysis: theoretical and computational tools for discovery and exploration of structure in dynamic behavior._x000D_
Diagnostics: data-based methods to infer properties of dynamic systems from observations._x000D_
Control: methods to produce desired or mitigate undesired behaviors in dynamic systems._x000D_
Integration: architectures that expand the reach of dynamic systems and overcome application-specific challenges._x000D_
_x000D_
Proposals should also clearly describe the intended Broader Impacts of the envisioned work, beyond the scientific merits of the proposal. NSF encourages flexibility and creativity in constructing activities to benefit society or advance desired societal outcomes. Activities seeking to achieve such benefits should be evidence-based, informed by best practices, and appropriately resourced. The DCSD program is committed to broadening access and inclusivity in the research community. Activities furthering this goal are encouraged.
_x000D_
To ensure that a project is appropriate for the DCSD program prior to the submission of a full proposal, principal investigators (PIs) are strongly encouraged to send a one-page draft Project Summary to dcsd@nsf.gov following the format for proposal submission described in the NSF Proposals   Award Policies   Procedures Guide (PAPPG). In preparing the draft Project Summary, PIs are encouraged to refer to and address the NSF Merit Review Principles and Merit Review Criteria described in the PAPPG, as these constitute the basis for evaluation upon submission of a proposal. PIs considering prospective projects to bring together diverse research perspectives are also encouraged to contact the DCSD Program Officers at dcsd@nsf.gov to explore appropriate funding mechanisms.
_x000D_
Except for specific solicitations that may include upper or lower limits on a project budget, the DCSD program encourages PIs to request the right amount of financial support necessary and sufficient to achieve the scope of a project and to justify this accordingly.</t>
  </si>
  <si>
    <t>Geobiology and Low-Temperature Geochemistry (GG)</t>
  </si>
  <si>
    <t>The Geobiology and Low-Temperature Geochemistry Program supports research on geochemical processes in terrestrial Earth s surface systems, as well as the interaction of geochemical and biological processes. Proposals may address field, laboratory, theoretical, or modeling studies of these processes and related mechanisms at all spatial and temporal scales. The Geobiology and Low-Temperature Geochemistry Program is interested in supporting transformational and cutting-edge research. The Program also supports the development of geochemical proxies and analytical techniques. The Program is highly interdisciplinary and interfaces with other programs within the Geosciences Directorate, and with programs across NSF, including in biology, chemistry, and engineering.</t>
  </si>
  <si>
    <t>Microsystems Technology Office (MTO) Office-wide</t>
  </si>
  <si>
    <t>Amendment 02: The purpose of this amendment is to update the Abstract Due Date, Proposal Due Date, FAQ Submission Date, and Closing Date._x000D_
_x000D_
Amendment 01: The purpose of this amendment is to:_x000D_
(1) Allow for an accelerated award option for selected full proposals that do not exceed $2,000,000 for proposers who are willing to agree to prescribed terms and conditions as part of their full proposal submissions. Award would be made within 30 days of the selection notification. Please see Attachments 5-8 for details._x000D_
(2) Update the Agency Contact for this effort to Dr. Whitney Mason._x000D_
(3) Update the MTO Mission and Thrust Areas._x000D_
(4) Update the DARPA Cost Proposal Template instructions for academic institutions._x000D_
_x000D_
Original Synopsis below:_x000D_
This announcement seeks revolutionary research ideas for topics not being addressed by ongoing MTO programs or other published solicitations.</t>
  </si>
  <si>
    <t>Chronic, Non-Communicable Diseases and Disorders Across the Lifespan: Fogarty International Research Training Award (NCD-LIFESPAN) (D43 Clinical Trial Optional)</t>
  </si>
  <si>
    <t>This funding opportunity announcement (FOA) is a reissue due to an omission of TRAINING RECORD review questions in Section V. This FOA encourages applications for the Chronic, Non-Communicable Diseases and Disorders Across the Lifespan: Fogarty International Research Training Award (NCD-LIFESPAN) D43 program for institutional research training programs in low-and middle-income countries (LMICs, as defined by the World Bank classification system). Applications may be for collaborations between institutions in the U.S and an eligible LMIC or may involve just LMIC institutions if there is a previous track record of externally funded research and/or research training programs by the lead LMIC institution. The proposed institutional research training program is expected to sustainably strengthen the NCD research capacity of the LMIC institutions, and to train in-country experts to develop and conduct research on NCDs across the lifespan, with the long-range goal of developing and implementing evidence-based interventions relevant to their countries. The main focus of research training covered in the application must be relevant to the interests of at least one of the participating NIH ICs as stated by each in this FOA. Other NCD topics may be included as secondary and complementary focus areas. This Funding Opportunity Announcement (FOA) allows support of trainees as the lead investigator of an independent clinical trial; or a separate ancillary study to an existing trial; or to gain research experience in a clinical trial led by another investigator, as part of their research and career development.</t>
  </si>
  <si>
    <t>International Research Ethics Education and Curriculum Development Award (R25 Clinical Trial Not Allowed)</t>
  </si>
  <si>
    <t>Private institutions of higher education Other Eligible Applicants include the following:  Alaska Native and Native Hawaiian Serving Institutions; Asian American Native American Pacific Islander Serving Institutions (AANAPISISs); Hispanic-serving Institutions; Historically Black Colleges and Universities (HBCUs); Tribally Controlled Colleges and Universities (TCCUs) .</t>
  </si>
  <si>
    <t>Education programs supported by this initiative will equip scientists, health professionals and academics in low and middle-income countries with in-depth knowledge of the ethical principles, processes and policies related to international clinical and public health research.</t>
  </si>
  <si>
    <t>International Bioethics Research Training Program (D43 Clinical Trial Optional)</t>
  </si>
  <si>
    <t>Public and State controlled institutions of higher education Other Eligible Applicants include the following:  Alaska Native and Native Hawaiian Serving Institutions; Asian American Native American Pacific Islander Serving Institutions (AANAPISISs); Hispanic-serving Institutions; Historically Black Colleges and Universities (HBCUs); Tribally Controlled Colleges and Universities (TCCUs) .</t>
  </si>
  <si>
    <t>FIC will support LMIC-U.S. collaborative institutional bioethics doctoral and postdoctoral research training programs that incorporate didactic, mentored research and training components to prepare multiple individuals with ethics expertise for positions of scholarship and leadership in health research institutions in the LMIC.</t>
  </si>
  <si>
    <t>Facilities for Atmospheric Research and Education</t>
  </si>
  <si>
    <t>To facilitate fundamental research in the atmospheric sciences, the Division of Atmospheric and Geospace Sciences (AGS) supports state-of-the-art instruments and facilities through the Facilities for Atmospheric Research and Education (FARE) Program. The FARE Program includes the Lower Atmosphere Observing Facilities (LAOF) and the Community Instruments and Facilities (CIF).
_x000D_
Lower Atmospheric Observing Facilities
_x000D_
The National Science Foundation (NSF) Division of Atmospheric and Geospace Sciences (AGS)Lower Atmospheric Observing Facilities (LAOF) Program oversees a portfolio of multi-user national facilities that are sponsored by NSF for use by the geosciences research community. Program management resides within AGS in the NCAR and Facilities Section (NFS) which provides a single point for coordination of planning and resources.The LAOF program enables geoscience research through the provision of specialized facilities, instrumentation, and field support services necessary to carry out the scientific field work associated with investigations of a wide range of geophysical phenomena. The program is actively involved in oversight of LAOF facilities and decisions about the acquisition, operation, maintenance, upgrading and replacement of these facilities based on input from the scientific community. LAOF funding supports both the planning for scientific field programs (e.g., experimental design, operational plans, logistical support) and the deployment of NSF-sponsored facilities.
_x000D_
Proposals to the LAOF program are acceptedby invitation only. Please contact the FARE program director if you intend to submit a proposal to this program.
_x000D_
Community Instrumentation and Facilities (CIF)
_x000D_
The CIF program provides the NSF-sponsored atmospheric sciences research community with access to specialized instrumentation for field and laboratory-based studies.The program requests proposals from instrument and facility providers who will make their equipment available for community use through an NSF-defined request process.Support will be provided for limited technician time, minor upgrades, and travel for outreach.</t>
  </si>
  <si>
    <t>Earth Sciences Instrumentation and Facilities</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</si>
  <si>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
Consortia as follows:
_x000D_
a) legally incorporated, not-for-profit consortium that includes two or more submission-eligible organizations as described in the two bulleted items above. Such a consortium is one with an independent administrative structure (e.g., a sponsored projects office) located in the United States, its territories, or possessions and has 501(c)(3) status.
_x000D_
b) Submission-eligible organizations as described in the two bulleted items above, on behalf of an informal consortium. These consortium proposals may also include as partners, via subawards, other U.S. and non-U.S. organizations that are not otherwise eligible to submit directly to this solicitation.
_x000D_
In either case, the proposal title should indicate that a consortium is proposing.
_x000D_
While for-profit commercial organizations, especially U.S. small businesses with strong capabilities in scientific or engineering research or education, are eligible for participatory support through subawards/subcontracts as private sector partners with submitting organizations; they may not submit independent proposals. Such partnerships must be substantive and meaningful. In addition, the value added by the for-profit commercial organization should be justified as a unique contribution that is otherwise unavailable within organizations described in the two bulleted items above.</t>
  </si>
  <si>
    <t>The NSF Division of Earth Sciences (EAR) hereby solicits proposals for research infrastructure that is necessary to advance understanding of the Earth System including: the structure, properties and dynamics of the solid Earth and the interactions between the solid Earth and its biosphere, hydrosphere, cryosphere and atmosphere; the history and evolution of life; and the history and dynamics of Earth s climate.
_x000D_
The EAR Instrumentation and Facilities Program (EAR/IF) will support meritorious requests for instrument-based and human research infrastructure that will advance understanding of the Earth system, contribute toward training a diverse geoscience workforce, and encourage efforts to support belonging, accessibility, justice, equity, diversity, and inclusion (BAJEDI).
_x000D_
EAR/IF will consider proposals for:
_x000D_
1) Equipment Acquisition or Upgrade
_x000D_
2) Instrumentation and/or Technique Development
_x000D_
3) Technician Support
_x000D_
4) Community Facility Support
_x000D_
5) Continental Drilling Planning
_x000D_
EAR seeks proposals that prioritize support for the U.S. Earth science community supported by EAR core or special programs (see https://www.nsf.gov/funding/programs.jsp?org=EAR for a current list of funding programs in EAR).</t>
  </si>
  <si>
    <t>BRAIN Initiative Connectivity across Scales (BRAIN CONNECTS): Specialized Projects for Scalable Technologies (U01 Clinical Trial Not Allowed)</t>
  </si>
  <si>
    <t>For profit organizations other than small businesses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</si>
  <si>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This Funding Opportunity Announcement (FOA) supports Specialized Projects to develop current or emerging technologies to generate comprehensive atlases of brain connectivity, with an emphasis on human, non-human primate (NHP), and mouse.  Projects validating approaches using other species are also permitted if well justified.  Applications may address any aspects of the data collection, analysis, and dissemination pipelines, to enable faster and more cost-effective generation and interpretation of brain-wide wiring diagrams.  Projects will offer distinct capabilities and competencies aimed at developing and optimizing current technologies or entirely new and potentially risky approaches.  They will be integrated into the BRAIN CONNECTS Network, consisting of other Specialized Projects from this FOA, and Comprehensive Centers from its companion announcements, as a coordinated effort aimed at developing wiring diagrams that can span entire brains across multiple scales.</t>
  </si>
  <si>
    <t>Geophysics</t>
  </si>
  <si>
    <t>The Geophysics Program supports basic research in the physics of the solid earth to explore its composition, structure, and processes from the Earth's surface to its deepest interior. The program s disciplinary focus spans geodesy, geodynamics, geomagnetism, heat flow, mineral physics, potential fields, seismology, rock mechanics and deformation. Within these fields, the program encourages a wide range of laboratory, field, theoretical, and/or computational studies, and encourages new methods, approaches and innovative research directions. Research questions the program addresses include but are not limited to 1) understanding geohazards, such as the fundamental geophysical processes underpinning earthquakes, volcanoes and mass flows; 2) crustal and lithospheric structure and dynamics including faulting, subduction, rifting and mountain-building processes; 3) mantle composition, structure, dynamics and evolution; 4) core structure and dynamics, geodynamo, and core-mantle interactions; 5) global and planetary-scale processes, early Earth formation and evolution, isostatic adjustment, and the magnetic field.</t>
  </si>
  <si>
    <t>Petrology and Geochemistry</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</si>
  <si>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-Other Federal Agencies and Federally Funded Research and Development Centers (FFRDCs): Contact the appropriate program before preparing a proposal for submission.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t>
  </si>
  <si>
    <t>The Petrology and Geochemistry Program supports basic research on the formation of planet Earth, including its accretion, early differentiation, and subsequent petrologic and geochemical modification via igneous and metamorphic processes. Proposals in this program generally address the petrology and high-temperature geochemistry of igneous and metamorphic rocks and minerals (including mantle samples), mineral physics, economic geology, and volcanology. Proposals that are focused on the development of analytical tools, theoretical and computational models, and experimental techniques for applications by the igneous and metamorphic petrology, and high temperature geochemistry and geochronology communities are also invited. The program supports awide rangeof Broader Impacts activities, including (but not limited to) infrastructure enhancement, partnerships with industry, and evidence-based practices that recruit and specifically retain individuals who historically have not been included in the geosciences.</t>
  </si>
  <si>
    <t>BRAIN Initiative: Standards to Define Experiments Related to the BRAIN Initiative (R01 Clinical Trial Not Allowed)</t>
  </si>
  <si>
    <t>Reissue of RFA-MH-20-128 This Funding Opportunity Announcement (FOA) solicits applications to develop standards that describe experimental protocols that are being conducted as part of the BRAIN Initiative. It is expected that applications will solicit community input at all stages of the process. It is recommended that the first step of standard development will involve sharing data between different key groups in the experimental community in order to ensure that the developing standard will cover the way that all of those groups are collecting data. The developed standard is expected to be made widely available.</t>
  </si>
  <si>
    <t>Stimulating Access to Research in Residency (StARR) (R38)</t>
  </si>
  <si>
    <t>Private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not allowed.</t>
  </si>
  <si>
    <t>The purpose of this program is to recruit and retain outstanding, postdoctoral-level health professionals who have demonstrated potential and interest in pursuing careers as clinician-investigators. To address the growing need for this critical component of the research workforce, this funding opportunity seeks applications from institutional programs that can provide outstanding mentored research opportunities for Resident-Investigators and foster their ability to transition to individual career development research awards. The program will support institutions to provide support for up to 2 years of research conducted by Resident-Investigators in structured programs for clinician-investigators with defined program milestones. This Funding Opportunity Announcement (FOA) is designed specifically for applicants proposing research that does not involve leading an independent clinical trial, a clinical trial feasibility study, or an ancillary study to a clinical trial. Applicants to this FOA are permitted to propose research experience in a clinical trial led by a mentor or co-mentor.</t>
  </si>
  <si>
    <t>High-End Instrumentation (HEI) Grant Program (S10 Clinical Trial Not Allowed)</t>
  </si>
  <si>
    <t>Nonprofits that do not have a 501(c)(3) status with the IRS, other than institutions of higher education Other Eligible Applicants include the following:  Alaska Native and Native Hawaiian Serving Institutions; Asian American Native American Pacific Islander Serving Institutions (AANAPISISs); Hispanic-serving Institutions; Historically Black Colleges and Universities (HBCUs); Tribally Controlled Colleges and Universities (TCCUs) ; Non-domestic (non-U.S.) Entities (Foreign Institutions) are not eligible to apply.  Non-domestic (non-U.S.) components of U.S. Organizations are not eligible to apply.  Foreign components, as defined in the NIH Grants Policy Statement, are not allowed.</t>
  </si>
  <si>
    <t>The High-End Instrumentation (HEI) Grant Program encourages applications from groups of NIH-supported investigators to purchase or upgrade a single item of high-end, specialized, commercially available instruments or integrated systems. The minimum award is $600,001. There is no maximum price limit for the instrument; however, the maximum award is $2,000,000. Instruments supported include, but are not limited to, biomedical imagers, high throughput robotic screening systems, X-ray diffractometers, mass spectrometers, nuclear magnetic resonance (NMR) spectrometers, DNA and protein sequencers, biosensors, electron and light microscopes, flow cytometers, and biomedical imagers.</t>
  </si>
  <si>
    <t>Shared Instrumentation Grant (SIG) Program (S10 Clinical Trial Not Allowed)</t>
  </si>
  <si>
    <t>The Shared Instrument Grant (SIG) Program encourages applications from groups of NIH-supported investigators to purchase or upgrade a single item of high-priced, specialized, commercially available instruments or integrated instrumentation system. The minimum award is $50,000. There is no maximum price limit for the instrument; however, the maximum award is $600,000. Instruments supported include, but are not limited to: X-ray diffractometers, mass spectrometers, nuclear magnetic resonance spectrometers, DNA and protein sequencers, biosensors, electron and light microscopes, flow cytometers, and biomedical imagers.</t>
  </si>
  <si>
    <t>Limited Competition: Basic Instrumentation Grant (BIG) Program (S10 Clinical Trial Not Allowed)</t>
  </si>
  <si>
    <t>Others (see text field entitled "Additional Information on Eligibility" for clarification) Other Eligible Applicants include the following:  Alaska Native and Native Hawaiian Serving Institutions; Asian American Native American Pacific Islander Serving Institutions (AANAPISISs); Hispanic-serving Institutions; Historically Black Colleges and Universities (HBCUs); Tribally Controlled Colleges and Universities (TCCUs) ; Non-domestic (non-U.S.) Entities (Foreign Institutions) are not eligible to apply.  Non-domestic (non-U.S.) components of U.S. Organizations are not eligible to apply.  Foreign components, as defined in the NIH Grants Policy Statement, are not allowed.</t>
  </si>
  <si>
    <t>The Basic Instrumentation Grant (BIG) Program encourages applications from groups of NIH-supported investigators to purchase a single high-priced, specialized, commercially available instrument or an integrated instrumentation system.  The BIG Program is limited to institutions that have not received S10 instrumentation funding of $250,001 or greater in any of the preceding 3 Federal fiscal years (FY). Use the following to determine applicable funding periods: for application due date of June 1, 2022, consider S10 funding in FYs 2019-2021; for application due date of June 1, 2023, consider S10 funding in FYs 2020-2022;  for application due date of June 3, 2024, consider S10 funding in FYs 2021-2023.  The minimum award is $25,000. There is no maximum price limit for the instrument; however, the maximum award is $250,000. Instruments supported include, but are not limited to, basic cell sorters, confocal microscopes, ultramicrotomes, gel imagers, or computer systems.</t>
  </si>
  <si>
    <t>Pre-Solicitation Notice - Guinea Local Health System Strengthening</t>
  </si>
  <si>
    <t xml:space="preserve">The Agency for International Development (â€œUSAIDâ€) is pleased to issue a pre-solicitation notification. Please note that interested parties are not required to do anything in response to this pre-solicitation notice. USAID will only accept responses on the due date indicated on the forthcoming Notice of Funding Opportunity (â€œNOFOâ€). The NOFO will be published on the Grants.gov website, and no applications are requested at this time. Please hold all questions for information as they will not be responded to until the actual Request for Application is announced to the public in the coming weeks. This notice in no way obligates USAID to release the NOFO or make an award. Issuance of a NOFO will be subject to internal USAID approvals and the availability of funds. 
Description
USAID/Guinea   Sierra Leone anticipates awarding a five-year Cooperative Agreement for the Guinea Local Health System Strengthening (â€œGLHSSâ€) activity. The activityâ€™s goal is to contribute to sustainable improvements in the health status of Guineans. The GLHSS will contribute to achieving the following four intermediate results (IRs):
â— IR1: Provision of Quality Mother and Child Health, Family Planning/Reproductive Health and Malaria Services Assured
â— IR2: Health-Enhancing Social Norms Established
â— IR3: Democratic Norms and Processes Strengthened
â— IR4: Cross-Cutting: Use of Strategic Information for Decision-Making Increased
The Mission anticipates publishing an announcement seeking applications from eligible and qualified entities following a multi-tiered review process. Potential applicants will first submit a concept paper. After reviewing these submissions, a determination will be made on the best concept papers. Only the accepted concept papers will be invited to submit full applications, reviewed using a more specific merit review criterion. To be eligible for an award, interested parties must have complete registration and valid Dun and Bradstreet Universal Numbering System (â€œDUNSâ€) Number and System for Award Management (â€œSAMâ€) when responding to this NOFO.
</t>
  </si>
  <si>
    <t>Hydrologic Sciences (HS)</t>
  </si>
  <si>
    <t>The Hydrologic Sciences Program is a disciplinary program within the Division of Earth Sciences. Hydrologic science has a distinct focus on continental water processes at all scales, and the program supports research with a primary focus on these processes. The program supports fundamental research about water on and beneath the Earth s surface, as well as relationships of water with material and living components of the environment. A major focus is the study of hydrologic processes (e.g., rainfall and runoff; infiltration and subsurface flow; evaporation and transpiration), as well as fluxes of water (e.g. in soils, aquifers, and streams). Many projects involve the study of hydrologic transport (e.g., of dissolved solutes, sediment), coupling of hydrological processes with other systems (e.g., ecosystem processes, geochemical cycles, food and energy systems, socio-ecological systems), or hydrologic responses to change (e.g., changes in land use, climate, or watershed management). Observational, experimental, theoretical, and modeling approaches are supported.</t>
  </si>
  <si>
    <t>Leading Culture Change Through Professional Societies of Biology</t>
  </si>
  <si>
    <t xml:space="preserve">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span class= The PIwill be responsible for overseeing all aspects of the award.Additional membersmay be designated asco-Principal Investigatorsif developing and operating theBIO-LEAPS awardwould involve shared responsibility andwell-justifiedclosecollaboration.Other members of the leadership team or collaborators are considered non-co-PI Senior Personnel. </t>
  </si>
  <si>
    <t>The Leading Culture Change through Professional Societies of Biology (BIO-LEAPS) program aims to advance diversity, equity, and inclusion in the biological sciences broadly by leveraging the leadership, broad reach, and unique ability of professional societies to create culture change in the life sciences. The Directorate for Biological Sciences at the National Science Foundation (NSF BIO) recognizes that culture change in the biological sciences is an urgent priority because it is foundational to increasing diversity, equity, and inclusion in the discipline. The culture of a scientific discipline  defined here as the shared values, norms, traditions, and practices  can be thought of as an emergent property that results from years of experiences and interactions among scientists, their institutions, their professional societies, and their networks. It is increasingly recognized that the perceptions and attitudes of that culture can be quite variable for different individuals and are often negative for individuals historically excluded from the sciences (e.g., based on gender, gender identity, disability status, sexual orientation, ethnicity, race, the intersections of these, and others). Therefore, this program is designed to foster the necessary culture change within biology to move towards an equitable and inclusive culture that supports a diverse community of biologists that more fully reflects the demographic composition of the US population.
_x000D_
Professional societies are uniquely positioned to help facilitate culture change in their disciplines through: publishing journals, fostering scientific discussion and debate, broad membership (including membership from academia, government agencies, and private businesses), hosting large scientific meetings that can serve as networking and professional development opportunities for people at many professional levels, and electing leaders that greatly influence views and norms within a discipline. Recognizing that culture change in biology will require broad, sustained, and innovative approaches for meaningful and lasting changes to occur, society leaders will need to enable and support the establishment and definition of new norms and practices in biology and to encourage engagement with experts in diversity, equity, and inclusion-related organizational change.
_x000D_
NSF BIO will support awards that leverage the work of professional societies towards facilitating necessary culture change in the biological sciences to advance diversity, equity, and inclusion at scale   In other words, at the broad and deep scales that are required to address this systemic issue. Examples of evidence-based work that will be supported through this program include (but are not limited to): (1) creating transparent norms and practices that engender and support a sense of belonging and identity for diverse scientists from all backgrounds and demographics; (2) mitigating the systemic factors that result in inequities in the biological sciences, such as the perception of who a "scientist" is, and any factors that discourage diverse participation in biology; (3) assessing the state of norms and practices in professional societies and/or the other components and institutions within their disciplines; and, (4) planning, implementing, and assessing society-sponsored activities to change culture  such as safe conference best practices, strategies to mitigate implicit bias in hiring/promotion for society leadership positions, diversification of editorial boards, etc.</t>
  </si>
  <si>
    <t>Smart and Connected Communities</t>
  </si>
  <si>
    <t>Communities in the United States (US) and around the world are entering a new era of transformation in which residents and their surrounding environments are increasingly connected through rapidly-changing intelligent technologies. This transformation offers great promise for improved wellbeing and prosperity but poses significant challenges at the complex intersection of technology and society. The goal of the NSF Smart and Connected Communities (S CC) program solicitation is to accelerate the creation of the scientific and engineering foundations that will enable smart and connected communities to bring about new levels of economic opportunity and growth, safety and security, health and wellness, accessibility and inclusivity, and overall quality of life.
_x000D_
For the purposes of this solicitation, communities are defined as having geographically-delineated boundaries such as towns, cities, counties, neighborhoods, community districts, rural areas, and tribal regions consisting of various populations, with the structure and ability to engage in meaningful ways with proposed research activities. A  smart and connected community  is, in turn, defined as a community that synergistically integrates intelligent technologies with the natural and built environments, including infrastructure, to improve the social, economic, and environmental well-being of those who live, work, learn, or travel within it.
_x000D_
The S CC program encourages researchers to work with community stakeholders to identify and define challenges they are facing, enabling those challenges to motivate use-inspired research questions. For this solicitation, community stakeholders may include some or all of the following: residents, neighborhood or community groups, nonprofit or philanthropic organizations, businesses, as well as municipal organizations such as libraries, museums, educational institutions, public works departments, and health and social services agencies. The S CC program supports integrative research that addresses fundamental technological and social science dimensions of smart and connected communities and pilots solutions together with communities. Importantly, this program is interested in projects that consider the sustainability of the research outcomes beyond the life of the project, including the scalability and transferability of the proposed solutions.
_x000D_
This S CC solicitation will support research projects in the following categories:
_x000D_
_x000D_
S CC Integrative Research Grants (SCC-IRG) Tracks 1 and 2. Awards in this category will support fundamental integrative research that addresses technological and social science dimensions of smart and connected communities and pilots solutions together with communities. Track 1 proposals may request budgetsranging between $1,500,001 and $2,500,000, with durations of up to four years. Track 2 proposals may request budgetsup to $1,500,000, with durations of up to three years._x000D_
S CC Planning Grants (SCC-PG). Awards in this category are for capacity building to prepare project teams to propose future well-developed SCC-IRG proposals. Each of these awards will provide support for a period of one year and may be requested at a level not to exceed $150,000 for the total budget._x000D_
_x000D_
S CC is a cross-directorate program supported by NSF s Directorates for Computer and Information Science and Engineering (CISE), Education and Human Resources (EHR), Engineering (ENG), and Social, Behavioral, and Economic Sciences (SBE).</t>
  </si>
  <si>
    <t>NIGMS National and Regional Resources (R24 - Clinical Trial Not Allowed)</t>
  </si>
  <si>
    <t>City or township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not allowed.</t>
  </si>
  <si>
    <t>This Funding Opportunity Announcement (FOA) encourages applications for support of national or regional resources that will provide access to state-of-the-art facilities, equipment, technologies, research tools, software, and/or service to a substantial user base at institutions across multiple states (regional) or the country (national).  These resources should already be established, although new resources formed through consolidation of multiple local or regional facilities are also eligible.  They should be poised to achieve or already have achieved significant economies of scale and should be able to significantly increase access to the supported technologies or services for researchers across one or more regions or the country.  Major new research and development efforts should not be included.  For this FOA, a resource is defined as an activity that provides research capabilities and expertise to a large number of investigators and is available to any qualified investigator as a service.  The intent is to provide access to investigators without regard to the particular biomedical focus of their research, but not to duplicate or replace resources supported by other NIH Institutes and Centers (ICs) or host institutions.  Only those resources whose technical capabilities fall within the program areas supported by NIGMS will be supported.  It is expected that the resource will be maintained or upgraded to current best practices, make its capability and availability known to the biomedical research community through outreach activities, and provide user training and support.  Stand-alone data resources and databases are not eligible for funding through this FOA.   This FOA is limited to applications requesting support for resources that have been developed through previous NIGMS funding.</t>
  </si>
  <si>
    <t>Physical and Dynamic Meteorology</t>
  </si>
  <si>
    <t>The Physical and Dynamic Meteorology (PDM) program funds basic research on atmospheric physics and dynamics at sub-synoptic scales, including processes relevant to, and impacted by, climate change. Areas of supported research include, but are not limited to:
_x000D_
_x000D_
Severe and hazardous weather, including tornadoes, tropical cyclones, organized convection, winter weather, and climate-driven extreme events._x000D_
Aerosol, cloud, and precipitation physics, including cloud microphysics, aerosol-cloud-precipitation interaction, radiative transfer, and orographic processes._x000D_
Atmospheric dynamics and exchange processes, including boundary layer meteorology, turbulence and atmospheric waves, land-atmosphere interaction, urban meteorology, and wildfire-atmosphere interactions._x000D_
Atmospheric electricity, including lightning physics and cloud/atmosphere electrification processes._x000D_
_x000D_
PDM encourages a variety of study types, including theoretical, numerical, laboratory, and field observation-based research. PDM sponsors the development of new techniques and devices for atmospheric measurements through individual proposals and the Major Research Instrumentation (MRI) program. If you have an instrument acquisition or development idea, please contact the program to determine the best mechanism for submission.
_x000D_
PDM jointly reviews proposals with the Climate and Large-scale Dynamics, Atmospheric Chemistry, Aeronomy, and Hydrologic Sciences programs, as well as with programs in other NSF divisions and directorates. If you have any questions about where to submit your proposal, please feel free to contact any of the listed PDM program managers. PDM does not fund proposals that are heavily weighted towards applied research and would be better suited at mission agencies.
_x000D_
PDM funds observational research campaigns for studies of atmospheric processes. If the proposed project will make use of the NSF-supported Facilities for Atmospheric Research and Education (FARE), please contact the PDM and FARE program managers to discuss the project at an early stage. Proposals using FARE assets will be submitted through the Facility and Instrumentation Request Process solicitation. 
_x000D_
PDM recommends that proposers integrate education, outreach, and dissemination activities into their research plans in compliance with NSF s Broader Impacts criteria. 
_x000D_
PDM strongly encourages proposals from:
_x000D_
_x000D_
PIs at all career stages, including through the AGS Postdoctoral Research Fellowship program._x000D_
PIs at all institution types, including MSIs, non-R1 institutions, and institutions in EPSCoR jurisdictions._x000D_
PIs from traditionally underrepresented groups in Atmospheric Sciences._x000D_
_x000D_
Proposals may be submitted at any time during the year. Exceptions include cross-agency programs such as CAREER and MRI, and projects that make use of AGS-supported observational facilities which should follow the Facilities and Instrument Request Process solicitation.</t>
  </si>
  <si>
    <t>Mission Spain Public Diplomacy 2022 Annual Program Statement</t>
  </si>
  <si>
    <t>DOS-ESP</t>
  </si>
  <si>
    <t>U.S. Mission to Spain</t>
  </si>
  <si>
    <t>Others (see text field entitled "Additional Information on Eligibility" for clarification) The following entities, from Spain, Andorra, or the United States, are eligible to apply:   Not-for-Profit organizations, including educational and cultural institutions   Civil society organizations  Non-governmental organizations  Think tanks  Professional associations   Media outlets  Governmental institutions and public international organizations   Individual citizens, including alumni of U.S. Government (USG) exchange programs, who have a demonstrated capacity or proven track record to carry out the proposed activities.  To be eligible for consideration, Spanish or Andorran-based applicant organizations must be registered in their respective host country. Businesses and other for-profit organization may not apply for funding under this APS.</t>
  </si>
  <si>
    <t xml:space="preserve">
The Public Diplomacy Section (PD Spain) of the U.S. Embassy Madrid and U.S. Consulate General Barcelona welcomes proposals for creative, engaging projects that line up with PD Spainâ€™s main objectives.â€¯That includes: 
 Promote citizen participation in the fight against the climate crisis and facilitate better knowledge of the policies and actions of the United States in this area. 
 Ensure that Spanish and /or Andorran students know the United States as a destination for their training, for summer work programs and for learning English. 
 Promote security and defense alliances between the United States and Spain and the Atlantic Alliance (NATO). 
 Communicate the importance of Spain being the venue for the 2022 NATO Summit, the role that Spain plays within NATO and the strategic concept of NATO in the near future. 
 Explain the value of initiatives dedicated to women, peace and security. 
 Support the areas of entrepreneurship, innovation and STEM to increase economic opportunities for young people in Spain and / or Andorra. 
 Increase knowledge about how to do business in the US and highlight the role of Spain and Andorra in the global digital economy. 
 Expand the reach of media literacy and support the media education programs of Spanish institutions with useful and accurate tools to increase understanding of false information and other tactics, to render misinformation campaigns targeting Spain ineffective. 
 Communicate about the common values that the United States, Spain and the EU share and about the promotion of respect for human rights, democracy and the need for democratic changes in places like Venezuela, Cuba and Nicaragua, the power of the law against impunity, privacy, international order based on common rules, and a fair playing field. 
 Encourage collaboration between Spanish and /or Andorran and American organizations that share the defense of human rights. 
 Explore topics such as the rights of LGBTQI + community, racism, sexism, and the rights of people with disabilities. 
 Promote the rights and equality of women, ethnic and religious minorities, the LGBTQI + community, refugees and migrants, people with disabilities and other populations in Spain and / or Andorra. 
All programs should ensure they promote diversity and inclusion. 
Please be aware that projects funded through this APSâ€¯mustâ€¯include an American element.â€¯That could involve a connection or partnership between Spanish and/or Andorran and American organizations or institutions.â€¯For example, an American expert take part, in person or virtually, in your project.â€¯Activities might highlight or examine shared values between Spain and/or Andorra and the United States, national interests, etc.â€¯You may incorporate a U.S. approach or method you have learned about to addressing an issue or challenge facing your community, institution, or profession. 
Grant activities may take any number of forms, including academic competitions, cross-border exchanges, conferences, workshops, courses, curriculum development, exhibits, hackathons or app development, online projects, mock trials or moot court competitions, simulations and role-playing activities (e.g., Model Congress, Model United Nations), performances, or other activities. 
Project start no earlier than December 1, 2021, no later than September 30, 2022, with all activities being completed no later than December 2023. All activities and your evaluation or assessment of the project should be completed within 18 months starting the project. 
</t>
  </si>
  <si>
    <t>Tectonics</t>
  </si>
  <si>
    <t>The Tectonics Program supports a broad range of field, laboratory, computational, and theoretical investigations aimed at understanding the deformation of the terrestrial continental lithosphere (i.e. above the lithosphere-asthenosphere boundary). The Program focuses on deformation processes and their tectonic drivers that operate at any depth within the continental lithosphere, on time-scales of decades/centuries (e.g. active tectonics) and longer, and at micro- to plate boundary/orogenic belt length-scales.</t>
  </si>
  <si>
    <t>NHLBI Career Transition Award for Intramural Postdoctoral Fellows and Research Trainees (K22 Independent Clinical Trial Not Allowed)</t>
  </si>
  <si>
    <t>Public and State controlled institutions of higher education Other Eligible Applicants include the following: Non-domestic (non-U.S.) Entities (Foreign Institutions) are not eligible to apply. Non-domestic (non-U.S.) components of U.S. Organizations are not eligible to apply.  Foreign components, as defined in the NIH Grants Policy Statement, are not allowed.   See the funding announcement for eligibility details</t>
  </si>
  <si>
    <t>The purpose of the NHLBI Career Transition Award (K22) program is to provide highly qualified postdoctoral fellows and other doctoral-level researchers still in training in the NHLBI Division of Intramural Research the opportunity to transition their research programs to extramural institutions as junior investigators. To achieve these objectives, the NHLBI Career Transition Award will support two phases of research: a mentored intramural phase (up to two years) and an extramural phase (three years), for a total of five years of combined support. Transition from the intramural phase of support to the extramural phase is not automatic. Approval of the transition will be based on the success of the awardee's research program during the mentored phase as determined by an NHLBI progress review, which will include an evaluation of a research plan to be carried out at the extramural institution. This Funding Opportunity Announcement (FOA) is designed specifically for applicants proposing research that does not involve leading an independent clinical trial, a clinical trial feasibility study, or a separate ancillary clinical trial. Applicants to this FOA are permitted to propose research experience in a clinical trial led by a mentor or co-mentor. Applicants proposing to serve as lead investigator of a clinical trial or an ancillary study to an ongoing clinical trial, should apply to the companion FOA, PAR-22-040 "NHLBI Career Transition Award for Intramural Postdoctoral Fellows and Research Trainees (K22- Clinical Trial Required).</t>
  </si>
  <si>
    <t>NHLBI Career Transition Award for Intramural Postdoctoral Fellows and Research Trainees (K22 Clinical Trial Required)</t>
  </si>
  <si>
    <t>The purpose of the NHLBI Career Transition Award (K22) program is to provide highly qualified postdoctoral fellows in the NHLBI Division of Intramural Research the opportunity to transition their research programs as new investigators to extramural institutions. To achieve these objectives, the NHLBI Career Transition Award will support two phases of research: a mentored intramural phase (up to two years) and an extramural phase (three years), for a total of five years of combined support. Transition from the intramural phase of support to the extramural phase is not automatic. Approval of the transition will be based on the success of the awardee's research program during the mentored phase as determined by an NHLBI progress review, which will include an evaluation of a research plan to be carried out at the extramural institution.</t>
  </si>
  <si>
    <t>Building Research Capacity of New Faculty in Biology</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</si>
  <si>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
The emphasis of this activity is helping to launch the careers of new faculty in biology who are pre-tenure (or the equivalent)and who are at Predominantly Undergraduate Institutions (PUIs), Minority-serving Institutions (MSIs)that are not among the nation s most research-intensive institutions, and other institutions that are classified as R2, D/PU, or M1-3 (seeCarnegie Classification of Institutions of Higher Education- a href= ). If PIs are unclear about the status of their institution, they are encouraged to reach out to the program officers in advance.
_x000D_
Primarily Undergraduate Institutions (PUIs):
_x000D_
PUIs are accredited colleges and universities (including two-year community colleges) that award Associates degrees, Bachelor's degrees, and/or Master's degrees in NSF-supported fields, but have awarded 20 or fewer Ph.D./D.Sci. degrees in all NSF-supported fields during the combined previous two academic years.
_x000D_
Minority Serving Institutions (MSIs):
_x000D_
MSIs include historically Black Colleges and Universities (HBCUs), Hispanic-serving institutions (HSIs), Tribal colleges or universities (TCUs), and other institutions that enroll a significant percentage of underrepresented minority students as defined by the U.S. Department of Education. These other institutions include Alaska Native-serving institutions, Native Hawaiian-serving institutions, Predominantly Black Institutions, Asian American and Native American Pacific Islander-serving institutions, and Native American-serving non-tribal institutions. For more information, please see the U.S. Department of Education's definitions and lists of eligible postsecondary institutions ( a href= Link to MSI definitions and eligibility information ). Proposal submissions are permitted from institutions of higher education that primarily serve populations of students with disabilities and can be found a href= .
_x000D_
Separately submitted collaborative proposals are not allowed; all submissions should be from a single institution. Participation of other institutions should be included using the subaward mechanism.
*Who May Serve as PI:
Lead PIs must be at the Assistant Professor rank (or equivalent), with service at that rank forno more than 3 years by the proposal submission date.
_x000D_
Principal Investigators must hold at least a 50% tenure-track (or tenure-track equivalent) position as an assistant professor (or equivalent rank), be untenured, and be within the first three years of such appointment. For a position to be considered a tenure-track-equivalent, it must meet all the following requirements: (1) the employee has a continuing appointment that is expected to last the three years of a BRC-BIO grant; (2) the appointment has researchandeducational responsibilities; and (3) the proposed project relates to the employee's career goals and job responsibilities as well as to the mission of the department or organization.Official leaves of absence (for illness, family, etc.) should be subtracted from the total time in the p</t>
  </si>
  <si>
    <t>With a focus on enhancing research capacity and broadening participation of new faculty of biology at minority-serving institutions (MSIs), predominantly undergraduate institutions (PUIs), and other universities and colleges that are not among the nation s most research-intensive institutions, the Directorate for Biological Sciences (BIO) offers theBuilding Research Capacity of New Faculty in Biology(BRC-BIO) program. The BRC-BIO program aims to a) broaden participation by expanding the types of institutions that submit proposals to BIO, and b) expand opportunities to groups underrepresented in the biological sciences, including Blacks and African Americans, Hispanics, Latinos, Native Americans, Alaska Natives, Native Hawaiians and other Pacific Islanders, and persons with disabilities, especially those serving at under-resourced institutions. Awards will provide the means for new faculty to initiate and build independent research programs by enhancing their research capacity. These projects might also include biology-focused research collaborations among faculty within the same institution, across peer-, or research-intensive institutions, or partnerships with industry or other non-academic partners that advance the candidate s research program. By providing this funding opportunity, BIO recognizes the national urgency to broaden, strengthen, and diversify the science, technology, engineering, and mathematics (STEM) workforce. In particular, these awards will build capacity for research at institutions that have a primary focus on teaching and undergraduate education, or that have limited capacity for research. Projects should enable the establishment of sustainable research programs for faculty and also enrich undergraduate research experiences and thereby grow the STEM workforce. BRC-BIO welcomes proposals from principal investigators who share NSF's commitment to diversity, equity, and inclusion.
_x000D_
Proposals in response to this solicitation must be submitted to the Division of Biological Infrastructure (DBI) in the Directorate for Biological Sciences (BIO).</t>
  </si>
  <si>
    <t>Research on Biopsychosocial Factors of Social Connectedness and Isolation on Health, Wellbeing, Illness, and Recovery (R01 Basic Experimental Studies with Humans Required)</t>
  </si>
  <si>
    <t>Small businesses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</si>
  <si>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This funding opportunity announcement (FOA) invites research projects that seek to explain the underlying mechanisms, processes, and trajectories of social relationships and how these factors affect outcomes in human health, illness, recovery, and overall wellbeing. Types of projects submitted under this FOA include studies that prospectively assign human participants to conditions (i.e., experimentally manipulate independent variables) and that assess biomedical and/or behavioral outcomes in humans to understand fundamental aspects of phenomena related to social connectedness and isolatedness. NIH considers such studies as prospective basic science studies involving human participants that meet the NIH definition of basic research and fall within the NIH definition of clinical trials (see, e.g., NOT-OD-19-024) Types of studies that should submit under this FOA include studies that prospectively assign human participants to conditions (i.e., experimentally manipulate independent variables) and that assess biomedical or behavioral outcomes in humans for the purpose of understanding the fundamental aspects of phenomena without specific application towards processes or products in mind. Applications proposing studies that include but not limited to model animal research or observational studies involving humans should submit under the companion Clinical Trials Not Allowed version of this FOA.</t>
  </si>
  <si>
    <t>Research on Biopsychosocial Factors of Social Connectedness and Isolation on Health, Wellbeing, Illness, and Recovery (R01 Clinical Trials Not Allowed)</t>
  </si>
  <si>
    <t>Special district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</si>
  <si>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This funding opportunity announcement (FOA) invites research projects that seek to model the underlying mechanisms, processes, and trajectories of social relationships and how these factors affect outcomes in health, illness, recovery, and overall wellbeing. Both animal and human subjects research projects are welcome. Researchers proposing basic science experimental studies involving human participants should consider the companion FOA TEMP-14931 "Research on Biopsychosocial Factors of Social Connectedness and Isolation on Health, Wellbeing, Illness, and Recovery (R01 Basic Experimental Studies with Humans Required)".</t>
  </si>
  <si>
    <t>Office of Elementary and Secondary Education (OESE): Project to Support America s Families and Educators (Project SAFE) Grant Program Assistance Listing Number (ALN) 84.184N</t>
  </si>
  <si>
    <t>Others (see text field entitled "Additional Information on Eligibility" for clarification) 1.	Eligible Applicants:  An LEA that--_x000D_
      a.  Has adopted a policy to implement and is implementing one or more of the strategies recommended in the CDC s Guidance for COVID-19 Prevention in K-12 Schools, as may be updated._x000D_
   The most recent guidance incorporates the following strategies: (i) Promoting vaccination; (ii) Consistent and correct mask use; (iii) Physical distancing; (iv) Screening testing to promptly identify cases, clusters, and outbreaks;  (v) Ventilation; (vi) Handwashing and respiratory etiquette;(vii) Staying home when sick and getting tested; (viii) Contact tracing, in combination with isolation and quarantine; and (ix) Cleaning and disinfection._x000D_
  b.  Has incurred or will incur a financial penalty imposed by its SEA or other State entity, such as a reduction in funding, including but not limited to reduction in salaries for school board members or superintendents, due to implementation of one or more strategies described in paragraph (a); and c._x000D_
  To protect the safety and well-being of students, has continued at the time of application to implement such strategy or strategies for which the penalty was imposed and commits to maintain such strategy or strategies to the extent consistent with CDC guidance for the 2021-2022 school year.</t>
  </si>
  <si>
    <t xml:space="preserve"> 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For the addresses for obtaining and submitting an application, please refer to our Common Instructions for Applicants to Department of Education Discretionary Grant Programs, published in the Federal Register on February 13, 2019 (84 FR 3768), or at www.govinfo.gov/â€‹content/â€‹pkg/â€‹FR-2019-02-13/â€‹pdf/â€‹2019-02206.pdf. 
 The Project SAFE grant program is intended to improve studentsâ€™ safety and well-being by providing resources to local educational agencies (LEAs) that adopt and implement strategies to prevent the spread of the Novel Coronavirus Disease 2019 (COVID-19) consistent with guidance from the Centers for Disease Control and Prevention (CDC) and that are financially penalized for doing so by their State educational agency (SEA) or other State entity.  
 Purpose of Program: The Project SAFE grant program provides grants to eligible LEAs to improve student safety and well-being by advancing strategies consistent with CDC guidance to reduce transmission of COVID-19 in schools. 
 To submit an application, please email the completed and signed application, along with required attachments, to ProjectSAFE@ed.gov. The application template may be found at the following link: https://oese.ed.gov/offices/office-of-formula-grants/safe-supportive-schools/the-project-to-support-americas-families-and-educators-project-safe/ 
 Assistance Listing Number (ALN): 84.184N</t>
  </si>
  <si>
    <t>Pancreatic Cancer Detection Consortium: Research Units (U01 Clinical Trial Optional)</t>
  </si>
  <si>
    <t>Native American tribal organizations (other than Federally recognized tribal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allowed.</t>
  </si>
  <si>
    <t>The purpose of this Funding Opportunity Announcement (FOA) is to solicit applications for the Research Units (RUs), one of the two scientific components of the Pancreatic Cancer Detection Consortium (PCDC), to conduct research on early detection of pancreatic ductal adenocarcinoma (PDAC) and characterization of its precursor lesions to identify those patients who are at high risk of progression to cancer. The PCDC will continue to address one of the four research priorities identified in the National Cancer Institute's 2014 Scientific Framework for Pancreatic Ductal Adenocarcinoma. The PCDC will support research for the development and testing of new molecular and imaging biomarkers for detecting PDAC early and for identifying those patients at high risk of PDAC (because of genetic factors or presence of precursor lesions) who could be candidates for early intervention. The PCDC-RUs will consist of multi-disciplinary teams and will undertake studies to: identify and test biomarkers measurable in bodily fluids for early detection of PDAC and/or its precursor lesions; determine which pancreatic cysts are likely to progress to cancer; develop molecular- and/or imaging-based approaches for screening populations at high risk of PDAC; use machine learning and computational approaches towards biomarker discovery and/or validation; and conduct biomarker validation studies. The PCDC-RUs will also collect longitudinal biospecimens for building a biorepository. Each PCDC-RU is expected to participate in collaborative activities with other PCDC-RUs and share ideas, biospecimens and data within the Consortium. The other scientific component of the PCDC will be the Management and Data Coordination Unit (MDCU). The PCDC-MDCU will provide support toward study design, protocol development, statistical analysis, coordination, harmonization, data management and stewardship for the trans-PCDC collaborative projects, including biorepository building effort. The PCDC-MDCU will also supp</t>
  </si>
  <si>
    <t>Pancreatic Cancer Detection Consortium: Management and Data Coordination Unit (U24 Clinical Trial Not Allowed)</t>
  </si>
  <si>
    <t>County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not allowed.</t>
  </si>
  <si>
    <t>The purpose of this Funding Opportunity Announcement (FOA) is to solicit applications for the Research Units (RUs), one of the two scientific components of the Pancreatic Cancer Detection Consortium (PCDC), to conduct research on early detection of pancreatic ductal adenocarcinoma (PDAC) and characterization of its precursor lesions to identify those patients who are at high risk of progression to cancer. The PCDC will continue to address one of the four research priorities identified in the National Cancer Institute's 2014 Scientific Framework for Pancreatic Ductal Adenocarcinoma. The PCDC will support research for the development and testing of new molecular and imaging biomarkers for detecting PDAC early and for identifying those patients at high risk of PDAC (because of genetic factors or presence of precursor lesions) who could be candidates for early intervention. The PCDC-RUs will consist of multi-disciplinary teams and will undertake studies to: identify and test biomarkers measurable in bodily fluids for early detection of PDAC and/or its precursor lesions; determine which pancreatic cysts are likely to progress to cancer; develop molecular- and/or imaging-based approaches for screening populations at high risk of PDAC; use machine learning and computational approaches towards biomarker discovery and/or validation; and conduct biomarker validation studies. The PCDC-RUs will also collect longitudinal biospecimens for building a biorepository. Each PCDC-RU is expected to participate in collaborative activities with other PCDC-RUs and share ideas, biospecimens and data within the Consortium. The other scientific component of the PCDC will be the Management and Data Coordination Unit (MDCU). The PCDC-MDCU will provide support toward study design, protocol development, statistical analysis, coordination, harmonization, data management and stewardship for the trans-PCDC collaborative projects, including biorepository building effort.</t>
  </si>
  <si>
    <t>Human-Environment and Geographical Sciences Program - Doctoral Dissertation Research Improvement Awards</t>
  </si>
  <si>
    <t>Others (see text field entitled "Additional Information on Eligibility" for clarification) *Who May Submit Proposals: Proposals may only be submitted by the following:
  - _x000D_
 Institutions of Higher Education (IHEs) - Two- and four-year IHEs (including community colleges) accredited in, and having a campus located in the US, acting on behalf of their faculty members. 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_x000D_
*Who May Serve as PI:
DDRI proposals must be submitted with a principal investigator (PI) and a co-principal investigator (co-PI). br / br / The PI must be the advisor of the doctoral student or another faculty member at the U.S. university where the doctoral student is enrolled. There is no limitation on the number of times that an individual may be the principal investigator on a DDRI proposal submitted to HEGS, either during a specific competition or over the course of her/his career. br / br / A doctoral student may submit a DDRI proposal to HEGS to support her/his dissertation research only twice during her/his lifetime. A student and her/his advisor therefore should carefully consider what times during the student's graduate program are most appropriate forsubmission ofa DDRI proposal.</t>
  </si>
  <si>
    <t>The objective of the Human-Environment and Geographical Sciences Program is to support basic scientific research about the nature, causes and/or consequences of the spatial distribution of human activity and/or environmental processes across a range of scales. Contemporary geographical research is an arena in which diverse research traditions and methodologies are valid. Recognizing the breadth of the field's contributions to science, the HEGS Program welcomes proposals for empirically grounded, theoretically engaged, and methodologically sophisticated, generalizable research in all sub-fields of geographical and spatial sciences.
_x000D_
Because the National Science Foundation's mandate is to support basic scientific research, the NSF Human-Environment and Geographical Sciences program does not fund research that takes as its primary goal humanistic understanding or applied research.HEGS welcomes proposals that creatively integrate scientific and critical approaches, and that engage rigorous quantitative, qualitative, or mixed methods in novel ways.However, a proposal that applies geographical/spatial methods to a social problem but does not propose how that problem provides an opportunity to make a theory-testing and/or theory expanding contributions to geographical science will be returned without review. HEGS supported projects are expected to yield results that will enhance, expand, and transform fundamental geographical theory and methods, and that will have positive broader impacts that benefit society.A proposal to the HEGS Program must also articulate how the results are generalizable beyond the case study.
_x000D_
It should be noted that HEGS is situated in the Behavioral and Cognitive Sciences Division of the Social, Behavioral and Economic Sciences Directorate at NSF. Therefore, it is critical that research projects submitted to the Human-Environment and Geographical Sciences Program illustrate how the proposed research questions engage human dimensions relevant and important to people and societies.
_x000D_
A proposal that fails to be responsive to these program expectations will be returned without review.</t>
  </si>
  <si>
    <t>Emergency Rural Health Care (ERHC) Grant Program</t>
  </si>
  <si>
    <t>Native American tribal governments (Federally recognized) An eligible applicant must be a public body, nonprofit corporation, or Federally-recognized tribe._x000D_
_x000D_
To be eligible for grant funds under this Notice, the eligible facility or project to be financed must be located in a rural area as defined in section 343(a)(13)(C) of the Consolidated Farm and Rural Development Act (7 U.S.C. 1991(a)(13)) and must primarily serve rural residents.  The terms   and  rural area  mean any area other than a city, town, or unincorporated area that has a population of greater than 20,000 inhabitants.</t>
  </si>
  <si>
    <t>This program provides up to $500 million in grant funding to eligible public bodies, non-profits, and Federally-recognized tribes. Funds will be distributed between two tracks of funding to eligible applicants: Track One, Recovery grants offer support for rural health care services in the form of immediate relief to address the economic conditions arising from the COVID-19 emergency; and Track Two, Impact grants offer funding to advance ideas and solutions to solve regional health care problems to support long-term sustainability of rural health. Application Submission: Track One, Recovery applications will be submitted to a processing office as designated by the USDA Rural Development State Office in the state where the applicantâ€™s project is located. Agency state office contact information is available at https://www.rd.usda.gov/about-rd/state-offices. Track Two, Impact applications will be submitted to a processing office as designated by the USDA Rural Development State Office in the state where the applicant is headquartered. For applicants with headquarters located in the District of Columbia, applications will be submitted to the USDA Rural Development National Office, ATTN: Jamie Davenport, 1400 Independence Ave., SW, STOP 0787, Washington, DC 20250. Both paper and electronic applications must be received by the Agency by the deadlines stated in the Notice of Funding Availability. The use of a courier and package tracking for paper applications is strongly encouraged. For more information, please view the Notice of Funding Availability, available here: https://www.govinfo.gov/content/pkg/FR-2021-08-12/pdf/2021-17199.pdf.</t>
  </si>
  <si>
    <t>Career Transition Award for NINDS Intramural Clinician-Scientists (K22 Clinical Trial Not Allowed)</t>
  </si>
  <si>
    <t>Native American tribal governments (Federally recognized)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  Foreign components, as defined in the NIH Grants Policy Statement, are not allowed.</t>
  </si>
  <si>
    <t>The objective of the NIH Career Transition Award (K22) is to provide support to outstanding basic or clinical investigators to develop their independent research skills through a two phase program: an initial period involving an intramural appointment at the NIH and a final period of support at an extramural institution. This NINDS K22 is specifically designed to facilitate the transition of NINDS intramural neurologist- and neurosurgeon-scientists to independent, academic faculty positions that support clinician-scientists to engage in independently funded scientific research as well as clinical activities.</t>
  </si>
  <si>
    <t>Making Health Care Safer in Ambulatory Care Settings and Long-term Care Facilities (R18)</t>
  </si>
  <si>
    <t>HHS-AHRQ</t>
  </si>
  <si>
    <t>Agency for Health Care Research and Quality</t>
  </si>
  <si>
    <t>Native American tribal organizations (other than Federally recognized tribal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t>
  </si>
  <si>
    <t>The Agency for Healthcare Research and Quality's (AHRQ) mission is to produce evidence to make health care safer, of higher quality, more accessible, equitable, and affordable, and to work within the U.S. Department of Health and Human Services and with other partners to make sure that the evidence is understood and used. AHRQ's Center for Quality Improvement and Patient Safety (CQuIPS) works to ensure patient safety in multiple settings with recent efforts to increase the development of processes including measures, metrics, tools and practices to increase patient safety in the ambulatory care setting and in long-term care facilities.</t>
  </si>
  <si>
    <t>APS-OAA-21-00001 Addendum USAID/Mali</t>
  </si>
  <si>
    <t>USAID-MAL</t>
  </si>
  <si>
    <t>Mali USAID -Bamako</t>
  </si>
  <si>
    <t xml:space="preserve">Through this Addendum to the Global Development Alliance (GDA) Annual Program Statement (APS) APS No: APS-OAA-21-00001 (the GDA APS), the U.S. Agency for International Developmentâ€™s Mission in Mali is making a special call for the submission of Concept Papers focused on catalyzing private sector investment for Maliâ€™s economic recovery through inclusive and sustainable development.
The specific objectives of this Addendum are to:
 Foster inclusive and sustainable agriculture-led growth 
 Catalyze agricultural investments that strengthen resilience among people and systems
 Improve productivity of agricultural market systems to promote a well-nourished population, especially among women and children
 Expand job opportunities and job skills training among priority populations in targeted geographies. (NB: this objective must be paired with at least one of the three above).
Subject to funding availability, USAID/Mali may allocate up to USD $3,000,000 to fund two or more GDAs with the private sector. Funding for individual applications is anticipated to be in the range of USD $250,000 to $1,500,000 to be provided over a period of 2-5 years, depending on the approach of each individual application. The resulting GDAs will complement the Mali Country plan under the U.S. Governmentâ€™s Global Food Security Strategy, also known as Feed The Future (FTF). If applicantâ€™s prefer to read the Mali Country Plan in French, please find it here.
Priority will be placed on supporting the most promising and effective GDAs, as described in Section III â€œEvaluation Criteriaâ€ of this Addendum. Effective GDAs are partnerships that result in the sustainable and ongoing generation of valuable and enduring results over time and well beyond the duration of the GDA. 
Unless otherwise stated herein, all terms and conditions of the GDA APS No: APS-OAA-21-00001 apply.
</t>
  </si>
  <si>
    <t>High Priority HIV and Substance Use Research (R01 Clinical Trial Optional)</t>
  </si>
  <si>
    <t>City or township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</si>
  <si>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Funding Opportunity Announcement (FOA) is to support high priority research at the intersection of HIV and substance use. This FOA invites innovative research projects with the potential to open new areas of HIV/AIDS research and/or lead to new avenues for prevention, treatment and cure of HIV among people who use drugs (PWUD). Applications submitted under this FOA are required to have a detailed research plan, preliminary data, and a clear description of the nexus with substance use. This FOA is open to both individual researchers and research teams and includes all areas of research from basic science to clinical and implementation research. All studies must focus on NIH HIV/AIDS Research Priorities: NOT-OD-20-018: UPDATE: NIH HIV/AIDS Research Priorities and Guidelines for Determining HIV/AIDS Funding.</t>
  </si>
  <si>
    <t>NINDS Alzheimers Disease and Alzheimers Disease-Related Dementias (AD/ADRD) Advanced Postdoctoral Career Transition Award to Promote Diversity (K99/R00 Independent Clinical Trial Not Allowed)</t>
  </si>
  <si>
    <t>Public and State controlled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</si>
  <si>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the NINDS Alzheimers Disease and Alzheimers Disease-Related Dementias (AD/ADRD) Advanced Postdoctoral Career Transition Award to Promote Diversity (K99/R00) program is to support of a cohort of new and talented, independent investigators from diverse backgrounds conducting AD/ADRD research. The program is designed to facilitate a timely transition of promising postdoctoral researchers from diverse backgrounds (e.g., see NIHs Interest in Diversity) from their mentored, postdoctoral research positions to independent, tenure-track or equivalent faculty positions. The program will provide independent NIH research support during this transition in order to help awardees establish independent research programs in the AD/ADRD field. This FOA is designed specifically for applicants proposing research that does not involve leading an independent clinical trial, a clinical trial feasibility study, or an ancillary study to a clinical trial. Applicants to this FOA are permitted to propose research experience in a clinical trial led by a mentor or co-mentor.</t>
  </si>
  <si>
    <t>Blueprint Medtech: Small Business Translator (U44 - Clinical Trial Optional)</t>
  </si>
  <si>
    <t>State governments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</si>
  <si>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purpose of this Funding Opportunity Announcement (FOA) is to encourage applications from Small Business Concerns (SBCs) to pursue translational activities and limited-size clinical studies to advance the development of therapeutic and diagnostic devices for disorders that affect the nervous or neuromuscular systems. Activities supported in this program include implementation of clinical prototype devices, non-clinical safety and effectivenesting, design verification and validation activities leading to submission of an Investigational Device Exemption (IDE) to the FDA or Institutional Review Board (IRB) application for a Non-Significant Risk (NSR) study. The clinical study is expected to provide information about the device function or final design that cannot be practically obtained through additional non-clinical assessments (e.g., bench top or animal studies) due to the novelty of the device or its intended use. This FOA is a milestone-driven cooperative agreement program and will involve participation of NIH program staff in negotiating the final project plan before award and monitoring of research progress. Participants in Blueprint MedTech receive funding for all activities to be conducted in their own laboratories. In addition, applicants will collaborate with NIH-funded consultants to receive assistance with specialty areas including regulatory, reimbursement, intellectual property, commercialization, and strategic partnerships. Participants can also augment their project with NIH contract research organizations that specialize in large animal testing, sterilization testing, biocompatibility assessment, manufacturing, and medical monitoring. SBCs developing their own devices or that already have established collaborations with device manufacturers are welcome to apply directly to this FOA or any of the companion opportunities. For more information see: https://neuroscienceblueprint.nih.gov/neurotherapeutics/blueprint-medtech</t>
  </si>
  <si>
    <t>Blueprint MedTech Translator (UG3/UH3 - Clinical Trial Optional)</t>
  </si>
  <si>
    <t>The purpose of this Funding Opportunity Announcement (FOA) is to encourage investigators to pursue translational activities and clinical feasibility studies to advance the development of therapeutic, and diagnostic devices for disorders that affect the nervous or neuromuscular systems. Activities supported in this program include implementation of clinical prototype devices, non-clinical safety and efficacy testing, design verification and validation activities, obtaining an Investigational Device Exemption (IDE) for a Significant Risk (SR) study or Institutional Review Board (IRB) approval for a Non-Significant Risk (NSR) study, as well as a subsequent clinical feasibility study. The clinical study is expected to provide information about the device function or final design that cannot be practically obtained through additional non-clinical assessments (e.g., bench top or animal studies) due to the novelty of the device or its intended use. This FOA is a milestone-driven cooperative agreement program and will involve participation of NIH program staff in negotiating the final project plan before award and monitoring of research progress. Participants in Blueprint MedTech receive funding for all activities to be conducted in their own laboratories. In addition, applicants will collaborate with NIH-funded consultants to receive assistance with specialty areas including regulatory, reimbursement, intellectual property, commercialization, and strategic partnerships. Participants can also augment their project with NIH contract research organizations that specialize in large animal testing, sterilization testing, biocompatibility assessment, manufacturing, and medical monitoring. Individuals, institutions, or businesses developing their own devices or that already have established collaborations with device manufacturers are welcome to apply directly to this FOA or any of the companion opportunities. For more information see BP MedTech website.</t>
  </si>
  <si>
    <t>Change of Recipient Organization (Type 7 Parent Clinical Trial Optional)</t>
  </si>
  <si>
    <t>The National Institutes of Health (NIH) hereby notify recipient organizations holding specific types of NIH grants, listed in the full Funding Opportunity Announcement (FOA), that applications for change of recipient organization may be submitted to this FOA.  This assumes such a change is programmatically permitted for the particular grant. Applications for change of recipient organization are considered prior approval requests (as described in Section 8.1.2.7 of the NIH Grants Policy Statement) and will be routed for consideration directly to the Grants Management Specialist named in the current award. Although requests for change of recipient organization may be submitted through this FOA, there is no guarantee that an award will be transferred to the new organization.  All applicants are encouraged to discuss potential requests with the awarding IC before submission.</t>
  </si>
  <si>
    <t>Sustainable Management of Tsavo and Amboseli Landscapes</t>
  </si>
  <si>
    <t>USAID Kenya and East Africa (USAID/KEA) is interested in scaling-up landscape-level biodiversity conservation in targeted areas which fall outside nationally protected areas. USAID intends to partner with one organization to work with communities, private sector, local government institutions, and civil society organizations in conserving biodiversity and livelihood improvement in targeted landscapes. Through a co-creation process, USAID intends to develop one award which will support one activity in the Greater Amboseli Ecosystem (GAE), and one activity for the larger Tsavo Conservation Area (TCA). USAID reserves the right to develop and issue multiple awards.</t>
  </si>
  <si>
    <t>NIDCD Research Grants for Translating Basic Research into Clinical Tools (R01 Clinical Trial Optional)</t>
  </si>
  <si>
    <t>This Funding Opportunity Announcement (FOA) is intended to provide an avenue for basic scientists, clinicians and clinical scientists to jointly initiate and conduct translational research projects which translate basic research findings into clinical tools for better human health.  The scope of this FOA includes a range of activities to encourage translation of basic research findings which will impact the diagnosis, treatment and prevention of communication disorders.  Connection to the clinical condition must be clearly established and the outcomes of the grant must have practical clinical impact.</t>
  </si>
  <si>
    <t>Tribal Colleges and Universities Program</t>
  </si>
  <si>
    <t>Others (see text field entitled "Additional Information on Eligibility" for clarification) *Who May Submit Proposals: Proposals may only be submitted by the following:
  -
Organizations eligible to submit TCUP proposals are federally recognized Tribal Colleges and Universities, Alaska Native-serving institutions and Native Hawaiian-serving institutions. Multiple campuses of one university system are normally encouraged to consider collaborative submissions. Executive Order 13021 defines Tribal Colleges and Universities ( tribal colleges ) as those institutions cited in section 532 of the Equity in Educational Land-Grant Status Act of 1994 (7 U.S.C. 301 note), and other institutions that qualify for funding under the Tribally Controlled Community College Assistance Act of 1978, (25 U.S.C. 1801 et seq.), as well as Navajo Community College as authorized in the Navajo Community College Assistance Act of 1978, Public Law 95-471, Title II (25 U.S.C. 640a note). The term  Alaska Native-serving institution  means an institution of higher education that is an eligible institution under section 1058(b) of the Higher Education Act; and that, at the time of submission, has an undergraduate enrollment that is at least 20 percent Alaska Native students. The term  Native Hawaiian-serving institution  means an institution of higher education that is an eligible institution under section 1058(b) of the Higher Education Act; has a Carnegie classification of baccalaureate or associate's college; and has, at the time of submission, an undergraduate enrollment that is at least 10 percent Native Hawaiian students.  By signing and submitting the proposal, the proposer is certifying that they meet the eligibility criteria specified in this program solicitation. Willful provision of false information in this request and its supporting documents or in reports required under an ensuing award is a criminal offense (U.S. Code, Title 18, Section 1001).  Eligibility may be verified by consulting the Integrated Postsecondary Education Data System (IPEDS) or other certified federal government data sources.  Other institutions of higher education are eligible to submit collaborative proposals as non-leads with TCUP-eligible institutions under the TCUP Partnerships strands; limitations apply.
*Who May Serve as PI:
For the Instructional Capacity Excellence in TCUP Institutions (ICE-TI), TCU Enterprise Advancement (TEA) Centers, and TCUP Partnerships award strands, the principal investigator (PI) is expected to be the president, chief academic officer, another senior academic officer responsible for oversight and management of curriculum and instructional policies for the institution, or a senior STEM faculty member. Typically, the PI for Targeted STEM Infusion Projects (TSIP) or TCUP for Secondary and Elementary Teachers in STEM proposals (TSETS) would be a member of the STEM faculty, but STEM education faculty are encouraged to be part of the key leadership team.  The PI for Small Grants for Research (SGR) proposals should be the lead researcher and would typically be a member of the STEM or STEM education faculty. For Cyberinfrastructure Health, Assistance, and Improvements (CHAI), the PI should be a senior STEM faculty member, but the chief information officer (CIO) is strongly encouraged to be part of the key leadership team.  Prospective PIs are encouraged to consult TCUP program staff.</t>
  </si>
  <si>
    <t>The Tribal Colleges and Universities Program (TCUP) provides awards to federally recognized1  Tribal Colleges and Universities, Alaska Native-serving institutions, and Native Hawaiian-serving institutions to promote high quality science (including sociology, psychology, anthropology, linguistics, economics and bioeconomics, statistics, and other social and behavioral sciences; natural sciences; computer science, including, but not limited to, artificial intelligence, quantum information science, and cybersecurity), technology, engineering and mathematics (STEM), STEM education, research, and outreach. Support is available to TCUP-eligible institutions (see the Additional Eligibility subsection of Section IV of this solicitation) for transformative capacity-building or community engagement projects through Instructional Capacity Excellence in TCUP Institutions (ICE-TI), Targeted STEM Infusion Projects (TSIP),TCUP for Secondary and Elementary Teachers in STEM (TSETS), TCU Enterprise Advancement Centers (TEA Centers), Cyberinfrastructure Health, Assistance, and Improvements (CHAI), and Preparing for TCUP Implementation (Pre-TI). Collaborations led by TCUP institutions that involve non-TCUP institutions of higher education are supported through TCUP Partnerships, with the participation of other NSF programs to support the work of non-TCUP institutions.  Finally, research studies that further the scholarly activity of individual faculty members are supported through Small Grants for Research (SGR). Through the opportunities highlighted above, as well as collaborations with other National Science Foundation (NSF) divisions and directorates, and other organizations,Â TCUPÂ aims toÂ increase Native individuals' participation in STEM careers, improve the quality of STEM programs atÂ TCUP-eligible institutions, and facilitate the development of a strong STEM enterprise in TCUP institutions' service areas.
_x000D_
_x000D_
_x000D_
TCUP supports transformative capacity-building, community engagement, or research projects at TCUP-eligible institutions through the following funding tracks:
_x000D_
Instructional Capacity Excellence in TCUP Institutions (ICE-TI) projects provide support to design, implement, and assess comprehensive institutional improvements in STEM education and research capacity at TCUP-eligible institutions of higher education. By strengthening STEM education and STEM education research, successful projects will increase the number of STEM students and improve the quality of their preparation. ICE-TI projects create and/or adapt and assess innovative models and materials for teaching and learning in STEM, embody knowledge about how students learn most effectively in STEM teaching and learning activities, and bring STEM disciplinary advances into the undergraduate or graduate experience. The objective of this strand is to expand STEM degrees offered by TCUP-eligible institutions or significantly enhance instructional approaches.
_x000D_
_x000D_
Targeted STEM Infusion Projects (TSIP) support the attainment of a short-term, well-defined goal to improve the quality of STEM education at an eligible institution. Targeted STEM Infusion Projects could, for example, enhance academic infrastructure by systematically adding traditional knowledge to the scope or content of a STEM course, updating curricula, modernizing laboratory research equipment, developing and delivering professional development for K-12 STEM educators, or improving the computational infrastructure.Â The objective of this strand is to expand STEM degrees or significantly enhance instructional approaches.
_x000D_
_x000D_
TCUP for Secondary &amp; Elementary Teachers in STEM (TSETS) supports in-service professional development in STEM disciplinary or STEM education content and/or research for K-12 STEM teachers in the relevant service area. Examples of project activities include, but are not limited to, professional development involving seminar series and engagement in STEM instruction and content during the academic year, structured series of summer intensive workshops and trainings, and summer research opportunities. The objective of this strand is to broaden the instructional capacity for STEM in the K-12 workforce and thereby to the entire community, and to build the capacity for STEM disciplinary or education research among participating educational professionals.Â 
_x000D_
_x000D_
TCU Enterprise Advancement Centers (TEA Centers) coalesce the STEM and/or STEM education expertise into a team, designed to support and promote the STEM goals, needs, aspirations, or interests of the chartering reservation or tribe(s). TEA Centers may address a critical tribal or community need or focus on a realm of research or design that is beyond the scope of individual research grants or that is of interest to multiple tribes. The objective of this strand is to build on the capacity developed through prior TCUP support and apply expertise to collaborations with communities in the institutionÂ’s service area, or nationally.Â 
_x000D_
_x000D_
The Cyberinfrastructure Health, Assistance, and Improvements (CHAI) strand supports projects at TCUP-eligible institutions of higher education to upgrade the cyberinfrastructure necessary to conduct, expand, manage and administer STEM programs of study, including research. The objective of this strand is to equip TCUP institutions to meet the demands of virtual instruction, advanced computing, and data science opportunities.Â 
_x000D_
_x000D_
Preparing for TCUP Implementation (Pre-TI) provides support for activities that prepare an institution for Implementation-level projects.Â Consequently, they are available only to TCUP-eligible institutions of higher education that have never received TCUP support, have not received TCUP support within the previous five years, or are embarking on a significantly novel STEM strategic plan. Examples of supported activities include completing an institutional assessment of its current STEM instructional capacity, or engaging in conversations necessary to formulate a shared vision of what that capacity should be and how to achieve it. Pre-TI awards can support staff and faculty release time, travel, stakeholder gatherings, and associated administrative costs.Â The objective of this strand is to conduct self-studies and formulate strategic plans for the development of STEM instructional programs of study.Â 
_x000D_
_x000D_
The TCUP Partnerships strand provides support for collaborations that will improve TCUP institutions' instructional and research capacity in STEM fields supported by NSF; attract, retain, and support TCUP students in internships and research endeavors deemed to be necessary for a complete curriculum offering; and engage partner universities to provide an academic grounding and a successful transition for students who wish to study or attain degrees in STEM fields supported by NSF. TCUP Partnerships broaden the number of scientific disciplines available to students at TCUP institution through collaborations with non-TCUP institutions.Â  Active Pre-Engineering Education Collaboratives or Partnerships in Geoscience Education awards are not affected by this revision. The objective of this strand is the development, through instructional and research capacity-building, of academic and career pathways for TCUP students through supporting collaborative projects between and among TCUP and non-TCUP institutions.  Interested teams of collaborators for which a TCUP institution serves as lead should contact the TCUP program directors.  Support for non-TCUP partners must be obtained from other NSF programs, which follows the procedures of the prior Partnership strands.
_x000D_
_x000D_
Small Grants for Research (SGR) strand support STEM or STEM Education faculty members at TCUP-eligible institutions to initiate or pursue research projects or programs that may include undergraduate or graduate student engagement. Awards are intended to help further the faculty member's research capability and effectiveness; improve research and teaching at his or her home institution; create and study new models and innovations in STEM teaching and learning; and enhanceÂ the understanding of diverse groups' participation in STEM education practices and interventions. International research or collaborations are strongly encouraged. TCUP students may seek support for international research opportunities under the guidance of a TCUP STEM or STEM education faculty member and an international research collaborator. These awards are particularly appropriate as a means of recruiting and retaining highly qualified scientists, engineers, and educators at TCUP-eligible institutions. The objective of this strand is to support faculty research and professional development that build research capacity at TCUP institutions.
_x000D_
_x000D_
_x000D_
[1] Executive Order 13021 defines Tribal Colleges and Universities ("tribal colleges") as those institutions cited in section 532 of the Equity in Educational Land-Grant Status Act of 1994 (7 U.S.C. 301 note), and other institutions that qualify for funding under the Tribally Controlled Community College Assistance Act of 1978, (25 U.S.C. 1801 et seq.), as well as Navajo Community College as authorized in the Navajo Community College Assistance Act of 1978, Public Law 95-471, Title II (25 U.S.C. 640a note). The term "Alaska Native-serving institution" means an institution of higher education that is an eligible institution under section 1058(b) of the Higher Education Act; and that, at the time of submission, has an undergraduate enrollment that is at least 20 percent Alaska Native students. The term "Native Hawaiian-serving institution" means an institution of higher education that is an eligible institution under section 1058(b) of the Higher Education Act; and that, at the time of submission, has an undergraduate enrollment that is at least 10 percent Native Hawaiian students. Most TCUP-eligible institutions of higher education are two-year or community colleges.  See the Who May Submit Proposals section in this solicitation for further details.</t>
  </si>
  <si>
    <t>FY 2021 - 2023 Economic Development RNTA</t>
  </si>
  <si>
    <t>DOC</t>
  </si>
  <si>
    <t>Department of Commerce</t>
  </si>
  <si>
    <t>Others (see text field entitled "Additional Information on Eligibility" for clarification) Additional Information on Eligibility:	Pursuant to Section 3(4) of PWEDA (42 U.S.C.   3122(4)) and 13 C.F.R.   300.3 (Eligible Recipient), eligible applicants for and recipients of EDA RNTA investment assistance include: a District Organization; an Indian Tribe or a consortium of Indian Tribes; a State; a city or other political subdivision of a State, including a special purpose unit of a State or local government engaged in economic or infrastructure development activities, or a consortium of political subdivisions; an institution of higher education or a consortium of institutions of higher education; a public or private non-profit organization or association acting in cooperation with officials of a political subdivision of a State; private individual; or a for-profit organization.Additional Information:</t>
  </si>
  <si>
    <t>NOTICE: PLEASE READ - April 6, 2023
EDA is excited to announce the launch of its new grants management platform: the Economic Development Grants Experience (EDGE). EDGE was developed to streamline the application and grants management process by implementing a single platform with increased transparency, improved user experience, higher data quality, and more efficiency throughout the entire grant lifecycle.
As of April 6th, 2023, applications can no longer be submitted on Grants.gov, and will ONLY be accepted through EDGE. Once your concept proposal has been reviewed, you will receive an invitation to apply in EDGE. More information on how to apply is provided in the full NOFO. You must submit concept proposals to rnta@eda.gov.
Program Description
EDA provides strategic investments on a competitive merit basis to support economic development, foster job creation, and attract private investment in economically distressed areas of the United States. Under this NOFO, EDA solicits applications from applicants in order to provide investments that support research and technical assistance projects under EDAâ€™s R E and NTA programs. Grants and cooperative agreements made under these programs are designed to leverage existing regional assets and support the implementation of economic development strategies that advance new ideas and creative approaches to advance economic prosperity in distressed communities.
This NOFO employs a two-step application process: (1) the Concept Proposal and (2) the Full Application. EDA will only review Full Applications submitted by applicants who first submitted a Concept Proposal. Any Full Application received from an applicant that did not submit a Concept Proposal will be deemed ineligible and not considered for funding. For the Concept Proposal, applicants may use the optional template available at https://eda.gov/programs/rnta/resources/. Full Applications must be submitted through Grants.gov using the link that EDA will provide with its response to the Concept Proposal.
*Please note: While the published Notice of Funding Opportunity (available under "Related Documents") states that the ED900A form and the SF424B form are both required for a complete application, these forms are no longer required and have therefore been removed from the package template.</t>
  </si>
  <si>
    <t>Development of Research-based Educational Outreach Materials</t>
  </si>
  <si>
    <t>VA-NCAC</t>
  </si>
  <si>
    <t>NCA Contracting</t>
  </si>
  <si>
    <t>Others (see text field entitled "Additional Information on Eligibility" for clarification) Universities, historical societies, and museums in partnership with public schools (K-12.)</t>
  </si>
  <si>
    <t>PLEASE SEE SAM.GOV FOR FULL DOCUMENTPlease search SAM.GOV using:  36C78621R0028</t>
  </si>
  <si>
    <t>NIA Predoctoral Fellowship Award to Promote Diversity in Translational Research for AD/ADRD (F31)</t>
  </si>
  <si>
    <t>The purpose of this Funding Opportunity Announcement (FOA) is to diversify the translational research workforce for Alzheimer's disease and Alzheimer's disease-related dementias (AD/ADRD). This initiative will emphasize the development of skills in data science and drug discovery and their application to various aspects of AD/ADRD research (from populations studies to research that can lead to new treatments and diagnostics, including all aspects of behavioral and social research). It will support research training of promising predoctoral candidates from diverse backgrounds to help them gain critical translational skills in data science and drug discovery. The long-term goal of this program is to develop a diverse translational workforce that can effectively participate in and/or lead a team-science, precision medicine approach to AD/ADRD treatment, prevention, early detection, and disease management and care.</t>
  </si>
  <si>
    <t>NIA Postdoctoral Fellowship Award to Promote Diversity in Translational Research for AD/ADRD (F32 Clinical Trial Not Allowed)</t>
  </si>
  <si>
    <t>The purpose of this Funding Opportunity Announcement (FOA) is to diversify the translational research workforce for Alzheimer's disease and Alzheimer's disease-related dementias (AD/ADRD). This initiative will emphasize the development of skills in data science and drug discovery, and their application to various aspects of AD/ADRD research (from populations studies to research that can lead to new treatments and diagnostics, including all aspects of behavioral and social research). It will support research training of promising postdoctoral candidates from diverse backgrounds to help them gain critical translational skills in data science and drug discovery. The long-term goal of this program is to develop a diverse translational workforce that can effectively participate in and/or lead a team-science, precision medicine approach to AD/ADRD treatment, prevention, early detection, and disease management and care.</t>
  </si>
  <si>
    <t>NIA Advanced Postdoctoral Career Transition Awards to Promote Diversity in Translational Research for AD/ADRD (K99/R00 Clinical Trial Not Allowed)</t>
  </si>
  <si>
    <t>Native American tribal governments (Federally recognized)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components of U.S. Organizations are not eligible to apply. Foreign components, as defined in the NIH Grants Policy Statement, are allowed.</t>
  </si>
  <si>
    <t>The purpose of this Funding Opportunity Announcement (FOA) is to diversify the translational research workforce for Alzheimer's disease and Alzheimer's disease-related dementias (AD/ADRD). This initiative will emphasize the development of skills in data science and drug discovery, and their application to various aspects of AD/ADRD research (from populations studies to research that can lead to new treatments and diagnostics, including all aspects of behavioral and social research). This initiative will support early career, independent investigators from diverse backgrounds to gain critical translational skills in data science and drug discovery. The long-term goal of this program is to develop a diverse translational workforce that can effectively participate in and/or lead a team-science, precision medicine approach to AD/ADRD treatment, prevention, early detection, and disease management and care.</t>
  </si>
  <si>
    <t>Research Experiences for Teachers Sites in Biological Sciences</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</si>
  <si>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The principal investigator of a BIORETS project must be employed in a position with significant research and/or teaching responsibilities at a submitting institution where research is conducted in field(s) supported by the Directorate for Biological Sciences.</t>
  </si>
  <si>
    <t>The National Science Foundation's Directorate for Biological Sciences (BIO) will support up to 10 awards annually to enable active research by cohorts of middle school teachers, high school teachers and/or community college faculty. Research Experiences for Teachers Sites (RET Sites; RETS) will be based at institutions of higher learning or other non-profit organizations in the U.S. that conduct educational and research activities. RETS with a focus on Biological Sciences (BIORETS) will include research projects in fields that are supported by the Directorate for Biological Sciences. BIORETS may be based in a single discipline or department or may offer interdisciplinary or multi-department research opportunities with a coherent intellectual theme. An important goal of the program is to increase the participation of underrepresented groups in biological research and those from geographically underrepresented areas in science, technology, engineering, and mathematics (STEM). Proposals are strongly encouraged to involve members of these groups both as participants and as mentors. BIORETS awards are expected to leverage the teachers  research experiences for curriculum development, with the goal of enriching their classroom teaching practices and inspiring a broad swath of students to consider higher education and careers in STEM.
_x000D_
Teachers supported with NSF funds in BIORETS projects must be U.S. citizens, U.S. nationals, or permanent residents of the United States.</t>
  </si>
  <si>
    <t>Cutting-Edge Basic Research Awards (CEBRA) (R21 Clinical Trial Optional)</t>
  </si>
  <si>
    <t>Private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t>
  </si>
  <si>
    <t>The National Institute on Drug Abuse (NIDA) Cutting-Edge Basic Research Award (CEBRA) is designed to foster highly innovative or conceptually creative research related to the etiology, pathophysiology, prevention, or treatment of substance use disorders (SUDs). It supports high-risk and potentially high-impact research that is underrepresented or not included in NIDA's current portfolio that has the potential to transform SUD research. The proposed research should: 1. develop, and/or adapt, revolutionary techniques or methods for addiction research or that show promising future applicability to SUD research; and /or 2. test an innovative and significant hypothesis for which there are scant precedent or preliminary data and which, if confirmed, would transform current thinking.</t>
  </si>
  <si>
    <t>Philadelphia FY 2021   FY 2023 EDA Planning and Local Technical Assistance</t>
  </si>
  <si>
    <t>Others (see text field entitled "Additional Information on Eligibility" for clarification) Pursuant to section 3 of the Public Works and Economic Development Act of 1965 (42 U.S.C.   3122) (PWEDA) and EDA s regulation at 13 C.F.R.   300.3, the following types of entities are eligible to receive funding assistance from EDA: 1. District Organizations (as defined in 13 C.F.R.   300.3); 2. Indian Tribes or a consortium of Indian Tribes; 3. States, cities, or other political subdivisions of a State, including a special purpose unit of a State or local government engaged in economic or infrastructure development activities, or a consortium of political subdivisions; 4. Institutions of higher education or a consortium of institutions of higher education; or 5. Public or private non-profit organizations or associations acting in cooperation with officials of a political subdivision of a State.</t>
  </si>
  <si>
    <t xml:space="preserve">UPDATED NOTICE - PLEASE READ: April 6, 2023 
EDA is excited to announce the launch of its new grants management platform: the Economic Development Grants Experience (EDGE). EDGE was developed to streamline the application and grants management process by implementing a single platform with increased transparency, improved user experience, higher data quality, and more efficiency throughout the entire grant lifecycle. 
As of April 6th, 2023, applications can no longer be submitted on Grants.gov, and will ONLY be accepted through EDGE. To apply in EDGE, please go to: sfgrants.eda.gov. More information on how to apply is provided in the full NOFO. 
Please note that the above does not apply for Partnership Planning applications. For more information, please reach out to your point of contact.  
Program Description: 
EDA makes planning and local technical assistance investments to support economic development, foster job creation, and attract private investment in economically distressed areas of the United States. 
Under the Planning program, EDA makes Partnership Planning, Short-Term Planning, and State Planning awards to eligible recipients to create and implement regional economic development plans designed to build capacity and guide the economic prosperity and resiliency of an area or region. More specifically, EDA makes Partnership Planning investments to designated planning organizations (i.e., District Organizations) serving EDA-designated Economic Development Districts and to Indian Tribes to facilitate the development, implementation, revision, or replacement of Comprehensive Economic Development Strategies (CEDS), which articulate and prioritize the strategic economic goals of recipientsâ€™ respective regions. EDA also makes Short-Term and State Planning awards for economic development planning activities that guide the eventual creation and retention of high-quality jobs, particularly for the unemployed and underemployed in the Nationâ€™s most economically distressed regions. 
Under the Local Technical Assistance program, EDA makes awards to strengthen the capacity of local or State organizations, institutions of higher education, and other eligible entities to undertake and promote effective economic development programs through projects such as feasibility studies, impact analyses, disaster resiliency plans, and project planning. 
*Please note: While the published Notice of Funding Opportunity (available under "Related Documents") states that the ED900A form and the SF424B form are both required for a complete application, these forms are no longer required and have therefore been removed from the package template. 
</t>
  </si>
  <si>
    <t>Atlanta FY 2021   FY 2023 EDA Planning and Local Technical Assistance</t>
  </si>
  <si>
    <t>Native American tribal governments (Federally recognized) Pursuant to section 3 of the Public Works and Economic Development Act of 1965 (42 U.S.C.   3122) (PWEDA) and EDA s regulation at 13 C.F.R.   300.3, the following types of entities are eligible to receive funding assistance from EDA: 1. District Organizations (as defined in 13 C.F.R.   300.3); 2. Indian Tribes or a consortium of Indian Tribes; 3. States, cities, or other political subdivisions of a State, including a special purpose unit of a State or local government engaged in economic or infrastructure development activities, or a consortium of political subdivisions; 4. Institutions of higher education or a consortium of institutions of higher education; or 5. Public or private non-profit organizations or associations acting in cooperation with officials of a political subdivision of a State.</t>
  </si>
  <si>
    <t>NOTICE: Application Process as of April 6th 
EDA is excited to announce the launch of its new grants management platform: the Economic Development Grants Experience (EDGE). EDGE was developed to streamline the application and grants management process by implementing a single platform with increased transparency, improved user experience, higher data quality, and more efficiency throughout the entire grant lifecycle. 
As of April 6th, 2023, applications can no longer be submitted on Grants.gov, and will ONLY be accepted through EDGE. To apply in EDGE, please go to: sfgrants.eda.gov. More information on how to apply is provided in the full NOFO. 
PARTNERSHIP PLANNING program instructions: Please note that applicants will be invited to submit applications through EDGE for the Partnership Planning program. For more information, please reach out to your EDA point of contact. 
Program Description: 
EDA makes planning and local technical assistance investments to support economic development, foster job creation, and attract private investment in economically distressed areas of the United States. 
Under the Planning program, EDA makes Partnership Planning, Short-Term Planning, and State Planning awards to eligible recipients to create and implement regional economic development plans designed to build capacity and guide the economic prosperity and resiliency of an area or region. More specifically, EDA makes Partnership Planning investments to designated planning organizations (i.e., District Organizations) serving EDA-designated Economic Development Districts and to Indian Tribes to facilitate the development, implementation, revision, or replacement of Comprehensive Economic Development Strategies (CEDS), which articulate and prioritize the strategic economic goals of recipientsâ€™ respective regions. EDA also makes Short-Term and State Planning awards for economic development planning activities that guide the eventual creation and retention of high-quality jobs, particularly for the unemployed and underemployed in the Nationâ€™s most economically distressed regions. 
Under the Local Technical Assistance program, EDA makes awards to strengthen the capacity of local or State organizations, institutions of higher education, and other eligible entities to undertake and promote effective economic development programs through projects such as feasibility studies, impact analyses, disaster resiliency plans, and project planning. 
*Please note: While the published Notice of Funding Opportunity (available under "Related Documents") states that the ED900A form and the SF424B form are both required for a complete application, these forms are no longer required and have therefore been removed from the package template.</t>
  </si>
  <si>
    <t>Austin FY 2021   FY 2023 EDA Planning and Local Technical Assistance</t>
  </si>
  <si>
    <t>Public and State controlled institutions of higher education Pursuant to section 3 of the Public Works and Economic Development Act of 1965 (42 U.S.C.   3122) (PWEDA) and EDA s regulation at 13 C.F.R.   300.3, the following types of entities are eligible to receive funding assistance from EDA: 1. District Organizations (as defined in 13 C.F.R.   300.3); 2. Indian Tribes or a consortium of Indian Tribes; 3. States, cities, or other political subdivisions of a State, including a special purpose unit of a State or local government engaged in economic or infrastructure development activities, or a consortium of political subdivisions; 4. Institutions of higher education or a consortium of institutions of higher education; or 5. Public or private non-profit organizations or associations acting in cooperation with officials of a political subdivision of a State.</t>
  </si>
  <si>
    <t>UPDATED NOTICE - PLEASE READ: April 6, 2023 
EDA is excited to announce the launch of its new grants management platform: the Economic Development Grants Experience (EDGE). EDGE was developed to streamline the application and grants management process by implementing a single platform with increased transparency, improved user experience, higher data quality, and more efficiency throughout the entire grant lifecycle. 
As of April 6th, 2023, applications can no longer be submitted on Grants.gov, and will ONLY be accepted through EDGE. To apply in EDGE, please go to: sfgrants.eda.gov. More information on how to apply is provided in the full NOFO. 
PARTNERSHIP PLANNING program instructions: Please note that applicants will be invited to submit applications through EDGE for the Partnership Planning program. For more information, please reach out to your EDA point of contact. 
Program Description: 
EDA makes planning and local technical assistance investments to support economic development, foster job creation, and attract private investment in economically distressed areas of the United States. 
Under the Planning program, EDA makes Partnership Planning, Short-Term Planning, and State Planning awards to eligible recipients to create and implement regional economic development plans designed to build capacity and guide the economic prosperity and resiliency of an area or region. More specifically, EDA makes Partnership Planning investments to designated planning organizations (i.e., District Organizations) serving EDA-designated Economic Development Districts and to Indian Tribes to facilitate the development, implementation, revision, or replacement of Comprehensive Economic Development Strategies (CEDS), which articulate and prioritize the strategic economic goals of recipientsâ€™ respective regions. EDA also makes Short-Term and State Planning awards for economic development planning activities that guide the eventual creation and retention of high-quality jobs, particularly for the unemployed and underemployed in the Nationâ€™s most economically distressed regions. 
Under the Local Technical Assistance program, EDA makes awards to strengthen the capacity of local or State organizations, institutions of higher education, and other eligible entities to undertake and promote effective economic development programs through projects such as feasibility studies, impact analyses, disaster resiliency plans, and project planning. 
**Please note: While the published Notice of Funding Opportunity (available under "Related Documents") states that the ED900A form and the SF424B form are both required for a complete application, these forms are no longer required and have therefore been removed from the package template.</t>
  </si>
  <si>
    <t>Chicago FY 2021   FY 2023 EDA Planning and Local Technical Assistance</t>
  </si>
  <si>
    <t>State governments Pursuant to section 3 of the Public Works and Economic Development Act of 1965 (42 U.S.C.   3122) (PWEDA) and EDA s regulation at 13 C.F.R.   300.3, the following types of entities are eligible to receive funding assistance from EDA: 1. District Organizations (as defined in 13 C.F.R.   300.3); 2. Indian Tribes or a consortium of Indian Tribes; 3. States, cities, or other political subdivisions of a State, including a special purpose unit of a State or local government engaged in economic or infrastructure development activities, or a consortium of political subdivisions; 4. Institutions of higher education or a consortium of institutions of higher education; or 5. Public or private non-profit organizations or associations acting in cooperation with officials of a political subdivision of a State.</t>
  </si>
  <si>
    <t>Denver FY 2021   FY 2023 EDA Planning and Local Technical Assistance</t>
  </si>
  <si>
    <t xml:space="preserve">UPDATED NOTICE - PLEASE READ: April 6, 2023 
EDA is excited to announce the launch of its new grants management platform: the Economic Development Grants Experience (EDGE). EDGE was developed to streamline the application and grants management process by implementing a single platform with increased transparency, improved user experience, higher data quality, and more efficiency throughout the entire grant lifecycle. 
As of April 6th, 2023, applications can no longer be submitted on Grants.gov, and will ONLY be accepted through EDGE. To apply in EDGE, please go to: sfgrants.eda.gov. More information on how to apply is provided in the full NOFO. 
PARTNERSHIP PLANNING program instructions: Please note that applicants will be invited to submit applications through EDGE for the Partnership Planning program. For more information, please reach out to your EDA point of contact. 
Program Description: 
EDA makes planning and local technical assistance investments to support economic development, foster job creation, and attract private investment in economically distressed areas of the United States. 
Under the Planning program, EDA makes Partnership Planning, Short-Term Planning, and State Planning awards to eligible recipients to create and implement regional economic development plans designed to build capacity and guide the economic prosperity and resiliency of an area or region. More specifically, EDA makes Partnership Planning investments to designated planning organizations (i.e., District Organizations) serving EDA-designated Economic Development Districts and to Indian Tribes to facilitate the development, implementation, revision, or replacement of Comprehensive Economic Development Strategies (CEDS), which articulate and prioritize the strategic economic goals of recipientsâ€™ respective regions. EDA also makes Short-Term and State Planning awards for economic development planning activities that guide the eventual creation and retention of high-quality jobs, particularly for the unemployed and underemployed in the Nationâ€™s most economically distressed regions. 
Under the Local Technical Assistance program, EDA makes awards to strengthen the capacity of local or State organizations, institutions of higher education, and other eligible entities to undertake and promote effective economic development programs through projects such as feasibility studies, impact analyses, disaster resiliency plans, and project planning. 
**Please note: While the published Notice of Funding Opportunity (available under "Related Documents") states that the ED900A form and the SF424B form are both required for a complete application, these forms are no longer required and have therefore been removed from the package template. 
</t>
  </si>
  <si>
    <t>Seattle FY 2021   FY 2023 EDA Planning and Local Technical Assistance</t>
  </si>
  <si>
    <t>Education Programs in Atmospheric and Geospace Sciences</t>
  </si>
  <si>
    <t>AGSEducation supports efforts to integrateatmospheric and geospaceresearch and education via two main program areas, which are:
_x000D_
1) Research Experiences for Undergraduates (REU) Site Program. This program provides funding to Universities andResearch Laboratories that allows them to offer summer internships to undergraduate students who would like to participate inatmospheric and/or geospaceresearch efforts. Proposals may be submitted annually (August deadline).
_x000D_
2)AGS Postdoctoral Fellowships:AGS awards 2-year Postdoctoral Fellowships to highly qualified investigators within 3 years of obtaining their PhD to carry out an integrated program of independent research and education. While the postdoc program is funded by core programs, the AGS Education program supports the cost of professional development for the fellows.
_x000D_
Additionally this program will support efforts related to education of undergraduate and graduate students and postdocs within the Atmospheric and Geospace communities, as well as diversity, equity, inclusion, and belonging efforts for the Atmospheric and Geospace communities.Proposals to the AGS Education program are acceptedby invitation only. Please contact theeducation program director if you intend to submit a proposal to this program.</t>
  </si>
  <si>
    <t>USAID Partnership for Higher Education Reform</t>
  </si>
  <si>
    <t xml:space="preserve">The United States Agency for International Development in Vietnam (USAID/Vietnam) is seeking applications from qualified entities to implement the "USAID Partnership for Higher Education Reform" activity. The activity aims to modernize the selected universities to support their desire to become world-class institutions. </t>
  </si>
  <si>
    <t>Using Innovative Digital Healthcare Solutions to Improve Quality at the Point of Care (R21/R33 - Clinical Trial Optional)</t>
  </si>
  <si>
    <t>Nonprofits that do not have a 501(c)(3) status with the IRS, other than institutions of higher education Other Eligible Applicants include the following:  Alaska Native and Native Hawaiian Serving Institutions; Asian American Native American Pacific Islander Serving Institutions (AANAPISISs); Eligible Agencies of the Federal Government; Faith-based or Community-based Organizations; Hispanic-serving Institutions; Historically Black Colleges and Universities (HBCUs); Indian/Native American Tribal Governments (Other than Federally Recognized); Non-domestic (non-U.S.) Entities (Foreign Organizations); Regional Organizations; Tribally Controlled Colleges and Universities (TCCUs) ; U.S. Territory or Possession; Non-domestic (non-U.S.) Entities (Foreign Institutions) are not eligible to apply. Non-domestic (non-U.S.) components of U.S. Organizations are not eligible to apply.</t>
  </si>
  <si>
    <t>This FOA invites applications that propose research projects that test promising digital healthcare interventions aimed at improving quality of care and healthcare services delivery at the point of care. This FOA will use the Phased Innovation Award (R21/R33) mechanism to provide up to 2 years of R21 support for initial developmental activities, and up to 3 years of R33 support for expanded activities.</t>
  </si>
  <si>
    <t>ANNUAL PROGRAM STATEMENT - PUBLIC AFFAIRS ITALY</t>
  </si>
  <si>
    <t>DOS-ITA</t>
  </si>
  <si>
    <t>U.S. Mission to Italy</t>
  </si>
  <si>
    <t>Others (see text field entitled "Additional Information on Eligibility" for clarification) The Public Affairs Section encourages applications from Italy and the United States:_x000D_
_x000D_
 	Registered U.S. and Italian not-for-profit organizations, including think tanks and civil society/non-governmental organizations with programming experience in Italy;_x000D_
 	U.S. or Italian individuals;_x000D_
 	U.S. and Italian non-profit or governmental educational institutions;_x000D_
 	U.S. and Italian Governmental institutions.</t>
  </si>
  <si>
    <t xml:space="preserve">The U.S. Mission to the Republic of Italyâ€™s Public Affairs Section (PAS) is pleased to announce that funding is available through its Public Diplomacy Grants Program. This is an Annual Program Statement outlining funding priorities, strategic themes, and the procedures for submitting requests for funding.
PA Italy invites proposals for programs that strengthen cultural ties between the United States and Italy through cultural and exchange programming that highlight shared values and promote bilateral cooperation. All programs must include a significant American cultural element, connection with American expert(s), organization(s), OR institution(s) in a specific field that will promote increased understanding of U.S. policy and perspectives.
Priority Program Areas:
 American and Italian voices countering malign influencers and misinformation campaigns
 Promoting strong transatlantic relations;
 Creativity and innovation in education and the arts, and problem solving of issues of mutual interest to both countries;
 American Studies, particularly American History and Literature, to include university linkages;
 Promoting diversity and inclusion;
 Empowerment and prosperity through STEM education and entrepreneurship;
 American English Language Study;
 Media Literacy.
</t>
  </si>
  <si>
    <t>USAID Reducing Pollution</t>
  </si>
  <si>
    <t xml:space="preserve">The United States Agency for International Development in Vietnam (USAID/Vietnam) is seeking applications from qualified entities to implement the "USAID Reducing Pollution" activity. The overall objective of this activity is to reduce environmental pollution in targeted areas through a collective impact approach. </t>
  </si>
  <si>
    <t>Innovation Corps Teams (I-CorpsTM* Teams)  Program</t>
  </si>
  <si>
    <t xml:space="preserve">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span style= font-size: 11pt; font-family: 'Calibri',sans-serif; line-height: 107%; mso-fareast-font-family: Calibri; mso-fareast-theme-font: minor-latin; mso-bidi-font-family: 'Times New Roman'; mso-ansi-language: EN-US; mso-fareast-language: EN-US; mso-bidi-language: AR-SA; mso-ascii-theme-font: minor-latin; mso-hansi-theme-font: minor-latin; mso-bidi-theme-font: minor-bidi; Multiple awards based on the same core technology generally will not be supported. </t>
  </si>
  <si>
    <t>The National Science Foundation (NSF) seeks to further develop and nurture a national innovation ecosystem that guides the output of scientific discoveries closer to the development of technologies, products, and services that benefit society. The goals of the NSF Innovation Corps (I-Corps) Program, created in 2011 by NSF,are tospur translation of fundamental research to the marketplace, to encourage collaboration between academia and industry, and to train NSF-funded faculty, students and other researchers in innovation and entrepreneurship skills.
_x000D_
The I-Corps Program utilizes experiential learning of customer and industry discovery, coupled with first-hand investigation of industrial processes, to quickly assess the translational potential of inventions. The I-Corps Program is designed to support the commercialization of "deep technologies,  those revolving around fundamental discoveries in science and engineering. The I-Corps Program addresses the skill and knowledge gaps associated with the transformation of basic research into deep technology ventures (DTVs).
_x000D_
The purpose of the I-Corps Teams program is to identify NSF-funded researchers to receive additional support in the form of entrepreneurial education, mentoring, and funding to accelerate the translation of knowledge derived from fundamental research into emerging products and services that may attract subsequent third-party funding. The outcomes of I-Corps Teams' projects are threefold: 1) a decision on a clear path forward based on an assessment of the business model, 2) substantial first-hand evidence for or against product-market fit, with the identification of customer segments and corresponding value propositions, and 3) a narrative of a technology demonstrationfor potential partners.
_x000D_
WEBINAR:
_x000D_
A webinar will be held monthly to answer questions about this program. Details will be posted on the I-Corps Teams website (seehttps://www.nsf.gov/news/special_reports/i-corps/program.jsp) as they become available.</t>
  </si>
  <si>
    <t>Cyber-Physical Systems</t>
  </si>
  <si>
    <t xml:space="preserve">Cyber-physical systems (CPS) are engineered systems that are built from, and depend upon, the seamless integration of computation and physical components. Advances in CPS will enable capability, adaptability, scalability, resiliency, safety, security, and usability that will expand the horizons of these critical systems. CPS technologies are transforming the way people interact with engineered systems, just as the Internet has transformed the way people interact with information. New, smart CPS drive innovation and competition in a range of application domains including agriculture, aeronautics, building design, civil infrastructure, energy, environmental quality, healthcare and personalized medicine, manufacturing, and transportation. CPS are becoming data-rich enabling new and higher degrees of automation and autonomy. Traditional ideas in CPS research are being challenged by new concepts emerging from artificial intelligence and machine learning. The integration of artificial intelligence with CPS especially for real-time operation creates new research opportunities with major societal implications.
_x000D_
While tremendous progress has been made in advancing CPS technologies, the demand for innovation across application domains is driving the need to accelerate fundamental research to keep pace. At the same time, the CPS program seeks to open new vistas for the research community to think beyond the usual cyber-physical paradigms and structures and propose creative ideas to address the myriad challenges of today's systems as well as those of the future that have not yet been designed or fielded.
_x000D_
The CPS program aims to develop the core research needed to engineer these complex CPS, some of which may also require dependable, high-confidence, or provable behaviors. Core research areas of the program includecontrol, data analytics, and machinelearning including real-time learning for control, autonomy, design, Internet of Things (IoT), mixed initiatives including human-in- or human-on-the-loop, networking, privacy, real-time systems, safety, security, and verification. By abstracting from the particulars of specific systems and application domains, the CPS program seeks to reveal cross-cutting, fundamental scientific and engineering principles that underpin the integration of cyber and physical elements across all application domains. The program additionally supports the development of methods, tools, and hardware and software components based upon these cross-cutting principles, along with validation of the principles via prototypes and testbeds. This program also fosters a research community that is committed to advancing education and outreach in CPSand accelerating the transition of CPS research into the real world.
_x000D_
All proposals must include the following as part of the Project Description:
_x000D_
_x000D_
AResearch Descriptionthat describes the technical rationaleand technical approach of the CPS research, including the challenges that drive the research problem and how the research integrates cyber and physical components.This section must also describe how the research outcomes are translational to other application domains. Specifically, it must include:_x000D_
_x000D_
A subsection titled "CPS Research Focus" which describes the cyber-physical system attributes of the challenge problem and clearly identifies the core CPS research areas addressed in which the novel and foundational research contributions are being made;_x000D_
_x000D_
_x000D_
An Evaluation/Experimentation Plan that describes how proposed concepts will be validated and outlines the metrics for success;_x000D_
A Project Management and Collaboration Plan that summarizes how the project team is ideally suited to realize the project goals and how the team will ensure effective collaboration; and_x000D_
A Broader Impacts sectionthat describes how the research will be disseminated to a broad and diverse audience. This should go beyond traditional academic publications and includes education and outreach from the research team spanning multiple levels of engagement. Broader Impacts encompasses Broadening Participation in Computing (BPC) and Engineering (BPE)._x000D_
_x000D_
NSF is working closely with multiple agencies across the federal government, including the U.S. Department of Homeland Security (DHS) Science and Technology Directorate (S  the U.S. Department of Transportation (DOT) Federal Highway Administration (FHWA); several National Institutes of Health (NIH) institutes and centers including the National Institute of Biomedical Imaging and Bioengineering (NIBIB), National Cancer Institute (NCI), Office of Behavioral and Social Sciences Research (OBSSR), and National Center for Advancing Translational Sciences (NCATS); and the U.S. Department of Agriculture National Institute of Food and Agriculture (USDA NIFA, hereafter referred to as NIFA).
_x000D_
Proposals for three classes of research and education projects differing in scope and goals are supported through the CPS program:
_x000D_
_x000D_
_x000D_
Smallprojects mayrequest a total budget of up to $500,000 for a period of up to 3 years. They are well suited to emerging new and innovative ideas that may have high impact on the field of CPS. There is no deadline for Small projects.
_x000D_
_x000D_
_x000D_
Medium projects may request a total budget ranging from $500,001 to $1,200,000 for a period of up to 3 years. They are well suited to multi-disciplinary projects that accomplish clear goals requiring integrated perspectives spanning the disciplines. There is no deadline for Medium Projects.
_x000D_
_x000D_
Frontierprojects must address clearly identified critical CPS challenges that cannot be achieved by a set of smaller projects. Furthermore, Frontier projects should also look to push the boundaries of CPS well beyond today's systems and capabilities. Funding may be requested for a total of $1,200,001 to $7,000,000 for a period of 4 to 5 years. Note that the Frontier projects have a specific deadline._x000D_
</t>
  </si>
  <si>
    <t>USAID Counter Wildlife Trafficking</t>
  </si>
  <si>
    <t>Amendment No. 01 
Issuance Date: January 15, 2021
Subject: Notice of Funding Opportunity (NOFO) No. 72044021RFA0001
Activity Title:  USAID Counter Wildlife Trafficking
The purpose of Amendment No. 01 to the NOFO No. 72044021RFA0001 is to provide responses to the questions received during the questions-answers period, as specified in Attachment 1 of this Amendment.
All information in the original NOFO remains unchanged and in full effect.
Thank you for your interest in USAID programs.
Sincerely,
s/
Bruce Gelband
Agreement Officer</t>
  </si>
  <si>
    <t>NIST MEP Competitive Awards Program</t>
  </si>
  <si>
    <t>Others (see text field entitled "Additional Information on Eligibility" for clarification) Applicants for this program must be an active MEP Center that is operating pursuant to a current NIST MEP cooperative agreement.  A MEP Center may work individually or may include proposed subawards to other organizations, including but not limited to other MEP Centers, to carry out the activities described in the proposal.  An MEP Center may serve as the MEP Center applicant on only one (1) proposal.  There are no restrictions on the number of applications in which MEP Centers may be proposed as subrecipients or as non-funded collaborators.</t>
  </si>
  <si>
    <t>NIST MEP invites applications from current MEP Centers for projects that will add capabilities to the MEP Program by achieving one or more of the criteria set forth in 15 U.S.C. 278k-1(e)(3) and may give priority during the selection process to proposals that will also address one or more of the Program Themes described in Section I. of this NOFO: Industry/Manufacturing 4.0; manufacturing workforce services to include employee recruitment, retention, and employee development; supply chain management and resiliency; and Artificial Intelligence (AI) application. Projects funded pursuant to this NOFO must provide for activities or services beyond those provided for pursuant to an applicantâ€™s and its partnering MEP Centersâ€™ base MEP Center cooperative agreements. See Section I of this NOFO for the full program description.</t>
  </si>
  <si>
    <t>Geomorphology and Land-use Dynamics (GLD)</t>
  </si>
  <si>
    <t>The GLD Program supports innovative fundamentalÂ research into processes that shape and modify earth'sÂ landscapes over a variety of length and time scales, with aÂ focus on the Holocene. The program encourages research that quantitatively investigates the coupling and feedback among such processes, their rates, and their relative roles, especially in the contexts of variation in biologic, climatic, and tectonic influences and in light of changes due to human impacts. Such research may involve fieldwork, modeling, experimentation, theoretical development, or combinations thereof. GLD is particularly interested in increasing the participation of underrepresented groups in research and education such as women, persons with disabilities, and underrepresented minorities [1], and those from geographically underrepresented areas in science, technology, engineering, and mathematics (STEM). Proposals submitted in response to this solicitation are strongly encouraged to involve PIs, co-PIs, postdoctoral researchers, students, and other personnel who are members of these groups. Proposers are also strongly encouraged to consider involving veterans of the U.S. Armed Forces as part of NSFÂ’s broader effort to promote veteran involvement in STEM research and education.
_x000D_
[1] https://ncses.nsf.gov/pubs/nsf19304/digest/introduction</t>
  </si>
  <si>
    <t xml:space="preserve">USAID/ Vietnam intends to issue a Cooperative Agreement for USAID/ Vietnam's Reducing Pollution activity. The anticipated period of performance of this activity is five years.Attached is the draft Program Description (PD) of the activity. We invite your comments/feedback to this draft PD. Any responses should be submitted to Ms. Huyen Dang at not later than 9:00 Hanoi time, December 29, 2020 and all responses will be considered prior to finalizing the PD.Please be advised that this is not a Request for Applications (RFA) and does not constitute a commitment on the part of the US. Government to make an award. We anticipate releasing the Request for Applications (RFA) at the end of December, 2020 with a closing date for receipt of applications in mid-February of 2021. We look forward to receiving your comments/feedback. Thank you very much for your time and interest in the activity. </t>
  </si>
  <si>
    <t xml:space="preserve">USAID/ Vietnam intends to issue a Cooperative Agreement for USAID/ Vietnam's Partnership for Higher Education Reform activity. The anticipated period of performance of this activity is five years.Attached is the draft Program Description (PD) of the activity. We invite your comments/feedback to this draft PD. Any responses should be submitted to Ms. Huyen Dang at not later than 9:00 Hanoi time, December 21, 2020 and all responses will be considered prior to finalizing the PD.Please be advised that this is not a Request for Applications (RFA) and does not constitute a commitment on the part of the US. Government to make an award. We anticipate releasing the Request for Applications (RFA) at the end of December, 2020 with a closing date for receipt of applications in mid-February of 2021. We look forward to receiving your comments/feedback. Thank you very much for your time and interest in the activity. </t>
  </si>
  <si>
    <t>Long Term Research in Environmental Biology</t>
  </si>
  <si>
    <t>The Long Term Research in Environmental Biology (LTREB) Program supports the generation of extended time series of data to address important questions in evolutionary biology, ecology, and ecosystem science. Research areas include, but are not limited to, the effects of natural selection or other evolutionary processes on populations, communities, or ecosystems; the effects of interspecific interactions that vary over time and space; population or community dynamics for organisms that have extended life spans and long turnover times; feedbacks between ecological and evolutionary processes; pools of materials such as nutrients in soils that turn over at intermediate to longer time scales; and external forcing functions such as climatic cycles that operate over long return intervals.
_x000D_
All proposals submitted through the LTREB solicitation are processed by 1 of the 3 clusters in the Division of Environmental Biology: Ecosystem Science, Population and Community Ecology, and Evolutionary Processes. Proposals must address topics supported by these clusters. Researchers who are uncertain about the suitability of their project for the LTREB Program are encouraged to contact the cognizant Program Officer.
_x000D_
Ecological research on marine populations, communities and ecosystems is not supported by LTREB and should be directed to the Biological Oceanography Program: (https://www.nsf.gov/funding/pgm_summ.jsp?pims_id=11696 org=OCE). However, research that examines the evolutionary dynamics of marine populations or communities will be accepted. Investigators who are uncertain about the suitability of their research for LTREB are strongly encouraged to contact the managing Program Officers listed in this solicitation.
_x000D_
Examples of current LTREB awards can be viewed at https://www.nsf.gov/awardsearch/ by including 'LTREB' in a title search.
_x000D_
The Program intends to support decadal projects. Funding for an initial, 5-year period requires submission of a proposal that includes a 15-page project description containingtwo essential components: a decadal research plan and a description of core data. Proposals for the second five years of support (renewal proposals) are limited to a ten-page project description.
_x000D_
Continuation of an LTREB project beyond an initial ten-year award will require submission of a new proposal that presents a new decadal research plan.
_x000D_
Specific review criteria for LTREB proposals and renewals are explained within this solicitation. Prospective proposers are advised to read this solicitation carefully.</t>
  </si>
  <si>
    <t>Conferences and Workshops in the Mathematical Sciences</t>
  </si>
  <si>
    <t>Conferences, workshops,and related events (including seasonal schools andinternational travel by groups) support research and training activities of the mathematical sciences community. Proposals for conferences, workshops, or conference-like activities may request funding of any amount and for durations of up to three years. Proposals under this solicitation must select "Conference" as the proposal type, and they must besubmitted to the appropriate DMS programs in accordance with the lead-time requirements, submission windows, or deadlines specified on the program web page. See the DMS Programs page and click on the appropriate program for program-specific information.</t>
  </si>
  <si>
    <t>Research Interests of the United States Air Force Academy (formerly USAFA-BAA-2021)</t>
  </si>
  <si>
    <t>DOD-USAFA</t>
  </si>
  <si>
    <t>Air Force Academy</t>
  </si>
  <si>
    <t>Unrestricted (i.e., open to any type of entity above), subject to any clarification in text field entitled "Additional Information on Eligibility" White papers and proposals from Federal Agencies, including subcontracting/sub-Non-Federal Entity (NFE) efforts will not be evaluated under this BAA. Federal agencies should contact the Department of Research associated with the given technical area listed in Section I of the BAA to discuss funding through internal Government procedures.</t>
  </si>
  <si>
    <t>The USAFA invests in an active research program for three main reasons. First and foremost, research significantly enhances the cadet learning experience. Our research is done by, for and with cadets who work alongside fellow cadets and faculty mentors. Research provides cadets with rich independent learning opportunities as they tackle ill-defined problems and are challenged to apply their knowledge and abilities.Second, our research program provides opportunities essential for faculty development. Research broadens and deepens the experience base of the faculty. This infuses current, relevant, state-of-the-art and cutting-edge applications and examples into the curriculum. This also helps our faculty remain current in their respective fields.Third, at USAFA we strive to conduct research to enhance the ability of the Air Force to perform its mission. There are ongoing research projects spanning topics as diverse as super hypersonics, cyber security, spatial disorientation, athletic performance and homeland defense. This BAA offers a vehicle for research to be performed to satisfy these three objectives, while also meeting research needs of industry counterparts/serve a public purpose. USAFAâ€™s partnerships with non-Government firms enables development in the public arena, stimulating the studies in the greater technical community. All awards issued against this BAA must serve to benefit the objectives identified above.</t>
  </si>
  <si>
    <t>Combating Illegal Wildlife Trafficking</t>
  </si>
  <si>
    <t xml:space="preserve">USAID Vietnam intends to issue a Cooperative Agreement for USAID/ Vietnam's Combating Illegal Wildlife Trafficking activity. The anticipated dollar range for the five-year activity is between $14 and $16 million.
Attached is the draft Program Description (PD) of the activity. We invite your comments/feedback to this draft PD. Any responses should be submitted to Ms. Huyen Dang at not later than 9:00 Hanoi time, November 23, 2020 and all responses will be considered prior to finalizing the PD.
Please be advised that this is not a Request for Applications (RFA) and does not constitute a commitment on the part of the US. Government to make an award. We anticipate releasing the Request for Applications (RFA) at the end of November, 2020 with a closing date for receipt of applications in mid-January of 2021. 
We look forward to receiving your comments/feedback. Thank you very much for your time and interest in the activity. </t>
  </si>
  <si>
    <t>Law   Science</t>
  </si>
  <si>
    <t>The Law   Science Program considers proposals that address social scientific studies of law and law-like systems of rules, as wellas studies of how science and technology are applied in legal contexts.The Program is inherently interdisciplinary and multi-methodological.Successful proposals describe research that advances scientific theory and understanding of the connections between human behavior and law, legal institutions, or legal processes; or the interactions of law and basic sciences, including biology, computer and information sciences, STEM education, engineering, geosciences, and math and physical sciences.Scientific studies of law often approach law as dynamic, interacting with multiple arenas, and with the participation of multiple actors.Fields of study include many disciplines, and often address problems including, though not limited, to:
_x000D_
_x000D_
Crime, Violence, and Policing_x000D_
Cyberspace_x000D_
Economic Issues_x000D_
Environmental Science_x000D_
Evidentiary Issues_x000D_
Forensic Science_x000D_
Governance and Courts_x000D_
Human Rights and Comparative Law_x000D_
Information Technology_x000D_
Legal and Ethical Issues related to Science_x000D_
Legal Decision Making_x000D_
Legal Mobilization and Conceptions of Justice_x000D_
Litigation and the Legal Profession_x000D_
Punishment and Corrections_x000D_
Regulation and Facilitation of Biotechnology (e.g., Gene Editing, Gene Testing, Synthetic Biology) and Other Emerging Sciences and Technologies_x000D_
Use of Science in the Legal Processes_x000D_
_x000D_
LS supports the following types of proposals:
_x000D_
_x000D_
Standard Research Grants and Grants for Collaborative Research_x000D_
Conference Awards_x000D_
_x000D_
LS also participates in a number of specialized funding opportunities through NSF s cross-cutting and cross-directorate activities, including, for example: 
_x000D_
_x000D_
Faculty Early Career Development (CAREER) Program_x000D_
Research Experiences for Undergraduates (REU)_x000D_
Research at Undergraduate Institutions (RUI)_x000D_
Grants for Rapid Response Research (RAPID)_x000D_
Early-concept Grants for Exploratory Research (EAGER)_x000D_
_x000D_
For information about these and other programs, please visit the Cross-cutting and NSF-wide Active Funding Opportunities homepage.</t>
  </si>
  <si>
    <t>Transitions to Excellence in Molecular and Cellular Biosciences Research</t>
  </si>
  <si>
    <t>The Division of Molecular and Cellular Biosciences (MCB) has developed a new opportunity to enable researchers with a strong track record of prior accomplishment to pursue a new avenue of research or inquiry. This funding mechanism is designed to facilitate and promote a PI s ability to effectively adopt empowering technologies that might not be readily accessible in the PI s current research environment or collaboration network.Transformative research likely spans disciplines and minimizing the practical barriers to doing so will strengthen research programs poised to make significant contributions.The award is intended to allow mid-career or later-stage researchers (Associate or Full Professor, or equivalent) to expand or make a transition in their research programs via a sabbatical leave or similar mechanism of professional development and then develop that research program in their own lab. This award will also enable the PI to acquire new scientific or technical expertise, facilitate the investigator s competitiveness, and potentially lead to transformational impacts in molecular and cellular bioscience. The award would fund up to six months of PI salary during the first sabbatical or professional development year, followed by support for continued research for two subsequent years upon the PI s return to normal academic duties. Requests for flexibility in the timing of the sabbatical or professional development year will be considered with appropriate justification. Please contact the cognizant program director for the solicitation. Through this solicitation MCB and NSF hope to develop a novel mechanism that will encourage investigators to expand and/or transition to new research areas aligned with MCB priorities, to increase retention of investigators in science, and to ensure a diverse scientific workforce that remains engaged in active research.
_x000D_
Highest funding priority is given to proposals that have outstanding intellectual merit and broader impacts, while proposals with weaknesses in either category (or those that are perceived as likely to have an incremental impact) will not be competitive.Proposals should also demonstrate a strong record of prior accomplishment, a compelling plan for professional development that will enable the PI to forge a new direction in their scholarship, and a strong rationale for why this support is needed for the PI to become competitive in the new research area. Support for the proposed transition from the PI s department, described in a letter from the department chair or equivalent, will also be required. Proposals that do not describe a plan for a transition in research direction will be considered unresponsive. Proposals that are motivated to understand the molecular and cellular basis of disease and disease treatments are not appropriate for the Division and will be returned without review.
_x000D_
Proposals addressing major open questions at the intersections of biology with other disciplines, such as physics, chemistry, mathematics, computer sciences, and engineering are of particular interest to the program.</t>
  </si>
  <si>
    <t>Sustaining Infrastructure for Biological Research</t>
  </si>
  <si>
    <t>The Sustaining Infrastructure for Biological Research (Sustaining) Program supports the continued operation of existing research infrastructure that advances contemporary biology in any research area supported by the Directorate for Biological Sciences (BIO)at NSF. The Sustaining Program focuses primarily on sustaining critical research infrastructure that is cyberinfrastructure or biological living stocks and that is broadly applicable to a wide range of researchers. Projects are expected to ensure continued availability of existing, mature resources that will enable important science outcomes achieved by users representing a broad range of research supported by BIO and its collaborating organizations.</t>
  </si>
  <si>
    <t>Arctic Doctoral Dissertation Research Improvement Grants (Arctic DDRIG)  Arctic Social Sciences, Arctic System Sciences, and Arctic Observing Network</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</si>
  <si>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The proposal must be submitted through regular organizational channels by the dissertation advisor(s) on behalf of the graduate student. The advisor is the Principal Investigator (PI); the student is the Co-Principal Investigator (Co-PI).  The student must be the primary author of the proposal with mentorship from the advisor (PI).  The student must be enrolled at a U.S. institution of higher education.</t>
  </si>
  <si>
    <t>The National Science Foundation (NSF) invites investigators at U.S. organizations to submit proposals for Doctoral Dissertation Research Improvement Grants (DDRIGs) to the Arctic Sciences Section, Office of Polar Programs (OPP) to conduct dissertation-level research about and related to the Arctic region. The Programs that are currently accepting DDRIG proposals are the Arctic Social Sciences (ASSP), Arctic System Science (ARCSS), and Arctic Observing Network (AON) Programs.
_x000D_
The goal of this solicitation is to attract research proposals that advance a fundamental, process, and systems-level understanding of the Arctic's rapidly changing natural environment and social and cultural systems, and, where appropriate, to improve our capacity to project future change. The Arctic Sciences Section supports research focused on the Arctic region and its connectivity with lower latitudes. The scientific scope is aligned with, but not limited to, research challenges outlined in the Interagency Arctic Research Policy Committee s five-year Arctic research plan (https://www.nsf.gov/geo/opp/arctic/iarpc/start.jsp). Given that this solicitation is designed to support early career scientists, this Program will also advance research capacity in Arctic sciences, promote workforce development, and enhance diversity and inclusion in Science, Technology, Engineering, and Math (STEM).
_x000D_
The Arctic Sciences Section coordinates with programs across NSF and with other federal and international partners to co-review and co-fund Arctic proposals as appropriate. The Arctic Sciences Section also maintains Arctic logistical infrastructure and field support capabilities that are available to enable research.</t>
  </si>
  <si>
    <t>Mathematical Sciences Infrastructure Program</t>
  </si>
  <si>
    <t xml:space="preserve">The primary aim of the Mathematical Sciences Infrastructure Program is to foster the continuing health of the mathematical sciences research community as a whole. In addition,the program complements the Workforce Program in the Mathematical Sciences in its goal to increase the number of well-prepared U.S. based individuals who successfully pursue careers in the mathematical sciences and in other professions in which expertise in the mathematical sciences plays an increasingly important role. The DMS Infrastructure program invites projects that support core research in the mathematical sciences, including: 1) novel projects supporting research infrastructure across the mathematical sciences community; 2) training projects complementing the Workforce Program, and 3) conference, workshop, and travel support requests that include cross-disciplinary activities or have an impact at the national scale.
_x000D_
Proposals under this solicitation submitted to DMS Infrastructure must show engagement in developing or enhancing the mathematical sciences research infrastructure in the U.S., including, but not limited to, broadening participation activities; professional development training; or involvement of students and early career researchers. Proposals must explain the regional or national scale impact of the activity that goes substantially beyond the submitting institution or the location of the event.
_x000D_
Full proposals (with exception of conference proposals, which are subject to lead-time requirements) must be submitted close to one of the Full Proposal Target Dates.
_x000D_
See below for more information about each category of Infrastructure projects.
_x000D_
(1)Novel projects that serve to strengthen the research infrastructure: The DMS Infrastructure Program will consider novel projects that support and strengthen the research infrastructure across the mathematical sciences community. These projects most often cut across multiple sub-disciplines supported by DMS or involve interdisciplinary collaborations. The main goal of these projects should be to create a new research infrastructure or substantially enhance or transform an existing infrastructure with regional or national impact that goes substantially beyond the submitting institution or the location of the project. Full proposals must be submitted by the Full ProposalTarget Date.
_x000D_
(2)Training projects: Training proposals submitted to DMS Infrastructure must not fit into one of the areas covered by solicitations in the Workforce Program in the Mathematical Sciences; they must be submitted by the Full ProposalTarget Date; and they must:
_x000D_
A. Include a core research component for trainees in mathematical sciences;
_x000D_
B. Demonstrate promise for an impact at the regional or national scale that goes substantially beyond the submitting institution or the location of the project;
_x000D_
C. Satisfy at least one of the following criteria:
_x000D_
i. Serve as models to be replicated,ii. Promote partnerships with non-academic entities, minority-serving institutions, or community colleges, oriii. Include a substantial broadening participation initiative.
_x000D_
In addition, all proposals of this type must clearly identify:
_x000D_
_x000D_
Goals to be achieved;_x000D_
Specific new activities to be conducted, the way in which these address the goals, and the way in which the activities significantly differ from or enhance common practice;_x000D_
Measurable outcomes for the project;_x000D_
Plans and methods for assessment of progress toward the goals to be achieved, and for evaluation of the success of the activity;_x000D_
Recruitment, selection, and retention plans for participants, including members of underrepresented groups;_x000D_
Sustainability plans to continue the pursuit of the project's goals when funding terminates; and_x000D_
A budget commensurate with the proposed activity._x000D_
_x000D_
3) Conferences, Symposia, Working Research Sessions, Travel Support Requests: Principal Investigators should carefully read the program solicitationConferences and Workshops in the Mathematical Sciencesto obtain important information regarding the substance of proposals for conferences, workshops, summer/winter schools, international travel support, and similar activities.Conference/workshop proposals that concern topics within a particular subdiscipline of mathematics or statistics should be submitted to the appropriate DMS disciplinary program(s). These submissions are subject to the lead-time requirements specified by the disciplinary program(s); see the program web pages listed on theDMS home page.
_x000D_
Conference/workshop proposals may be submitted to the DMS Infrastructure program only if the intended topical areas span a wide range of the mathematical sciences and are consequently not within the scope of DMS disciplinary programs. The required lead time for submission of such proposals is:
_x000D_
_x000D_
6 months in advance of the meeting date for proposals requesting no more than $50,000 to support a domestic meeting;_x000D_
9 months in advance of the meeting date for proposals requesting more than $50,000 to support a domestic meeting;_x000D_
12 months in advance of the meeting date for proposals requesting support for participation in a meeting taking place outside the United States._x000D_
</t>
  </si>
  <si>
    <t>Re-entry to Active Research Program</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</si>
  <si>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Investigators must contact a RARE program director in CBET or CHEto confirm eligibility prior to submission, depending upon which division the PI will apply to. The investigator will receive an e-mail confirmation of eligibility, which must be uploaded as a Single Copy document with the proposal submission.
_x000D_
The investigator must hold a PhD in engineering, chemistryor a closely related discipline, with prior research experiences in an area within the scope of the Division of Chemical, Bioengineering, Environmental, and Transport Systems or Division of Chemistry.
_x000D_
Application to the RARE program is not limited by demographics. Tenured or tenure-track faculty may apply. Adjunct, affiliated, research, or teaching faculty may apply if they are employed either full or part-time by an institution of higher education (IHE), provided they have a plan to seek future employment on the tenure-track. Other qualified individuals who lackIHE affiliation may apply, provided they have identified a senior research mentor at an IHE; in this select case, the mentor may serve as PI(see  Additional Eligibility  information below).
_x000D_
Investigators that have previously received a Track 1 RARE award are ineligible for a second award of either track. Investigators that have previously received a Track 2 award are ineligible for a second Track 2 award.Investigators that have previously received a Track 2 RARE award are eligible for a Track 1 award, if the Track 1 topic is related to the prior Track 2 award. PIs that are eligible for a CAREER submission are ineligible for a RARE submission. Proposals from investigatorswho have had no change in career status for an extended period of time are encouraged.
_x000D_
The RARE investigator must demonstrate a substantial decrease in research metrics that result from the research hiatus to receive a confirmation of eligibility.The metrics must be communicated to a RARE program director to receive an e-mail confirmation of eligibility. Also, full documentation of these metrics should be included in a full curriculum vitae that is uploaded as a Single Copy document with the proposal. Applicable research metrics include: (1) research publication activity; (2) external research support as PI or co-PI, at a funding level that is consistent with a typical CBET or CHEindividual investigator award; (3) resources with which to collect preliminary data. A Track 1 investigator must demonstrate a decrease in one or more metrics. A Track 2 investigator must demonstrate a lack of activity in all three metrics in the new area of interest (publications and funding in other areas are allowed). Examples of acceptable documentation of these metrics include: a full curriculum vitae with all publications and funding activity, a budget balance sheet showing funds from current awards are fully committed, a lack of support for research staff, reviews from a proposal saying preliminary data is needed, declined seed grant proposal from home institution, a lack of access to a necessary collaborator. Other metrics and means for documentation of the metric may be considered, after consultation with a RARE program director. The curriculum vitae should be formatted such that a decline in the r</t>
  </si>
  <si>
    <t>The Division of Chemical, Bioengineering, Environmental, and Transport Systems (CBET) and the Division of Chemistry (CHE) are conducting a Re-entry to Active Research (RARE) program to reengage, retrain, and broaden participation within the academic workforce. The primary objective of the RARE program is to catalyze the advancement along the academic tenure-track of highly meritorious individuals who are returning from a hiatus from active research. By providing re-entry points to active academic research, the RARE program will reinvest in the nation s most highly trained scientists and engineers, while broadening participation and increasing diversity of experience. A RARE research proposal must describe potentially transformative research that falls within the scope of participating CBET or CHEprograms.
_x000D_
The RARE program includes two Tracks to catalyze the advancement of investigators along the academic tenure system after a research hiatus, either to a tenure-track position or to a higher-tenured academic rank. Track 1 of the RARE program reengages investigators in a competitive funding opportunity with accommodations for gap in record that are a result of the research hiatus. A Track 1 proposal will follow the budgetary guidelines of the relevant CBET program for an unsolicited research proposal or the relevant CHE Disciplinary Research program. Track 2 retrains investigators for whom the research hiatus has led to the need for new or updated techniques, such that retraining is required to return the investigator to competitive research activity. A description of how these new techniques will lead to competitive research in CBET or CHE programs is required. A Track 2 proposal budget will include only funds necessary for specific retraining activities, such as travel to a workshop or conference, workshop registration fees, a retraining sabbatical, or seed funding to support collection of preliminary data (including salary support, equipment usage fees, materials, and/or supplies).
_x000D_
General inquiries regarding this program should be made to:
_x000D_
RAREquestions@NSF.GOV or a RARE Program Officer listed below.</t>
  </si>
  <si>
    <t>Notice of Intent</t>
  </si>
  <si>
    <t>Others (see text field entitled "Additional Information on Eligibility" for clarification) This funding announcement is not a request for applications. This announcement is to provide public notice of the U.S.Geological Survey's (USGS) intention to fund the project activities without competition.</t>
  </si>
  <si>
    <t xml:space="preserve">The USGS and the Faculte Des Sciences are mutually interested and desire to cooperate in a joint project to improve earthquake monitoring and reporting in Haiti using low-cost instrumentation. </t>
  </si>
  <si>
    <t>Local Capacity Strengthening for Response (LCS4R)</t>
  </si>
  <si>
    <t>Unrestricted (i.e., open to any type of entity above), subject to any clarification in text field entitled "Additional Information on Eligibility" See NOFO Section III for applicant eligibility details</t>
  </si>
  <si>
    <t>Under this Request for Applications (RFA), the United States Agency for Development (USAID), Office of Foreign Disaster Assistance, will consider applications to support organizational capacity development of local and national NGOs. Applicant eligibility information for this RFA is described in Section III of the Notice of Funding Opportunity (NOFO). Subject to the availability of funds, USAID intends to award up to three cooperative agreements to responsible applicants whose application best meets the objectives of this NOFO and the selection criteria contained herein. USAID reserves the right to fund one or more or none of the applications submitted.</t>
  </si>
  <si>
    <t>Plant Biotic Interactions</t>
  </si>
  <si>
    <t>Others (see text field entitled "Additional Information on Eligibility" for clarification) *Who May Submit Proposals: Proposals may only be submitted by the following:
  -Non-profit, non-academic organizations: Independent museums, observatories, research laboratories, professional societies and similar organizations located in the U.S. that are directly associated with educational or research activities.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
USDA/NIFA Eligible applicants include: (1) State agricultural experiment stations; (2) colleges and universities (including community colleges offering associate degrees or higher); (3) university research foundations; (4) other research institutions and organizations; (5) Federal agencies, (6) national laboratories; (7) private organizations or corporations; (8) individuals who are U.S. citizens, nationals, or permanent residents; and (9) any group consisting of 2 or more entities identified in (1) through (8). Eligible institutions do not include foreign and international organizations.</t>
  </si>
  <si>
    <t>The Plant Biotic Interactions (PBI) program supports research on the processes that mediate beneficial and antagonistic interactions between plants and their viral, bacterial, oomycete, fungal, plant, and invertebrate symbionts, pathogens and pests. This joint NSF/NIFA program supports projects focused on current and emerging model and non-model systems, and agriculturally relevant plants. The program s scope extends from fundamental mechanisms to translational efforts, with the latter seeking to put into agricultural practice insights gained from basic research on the mechanisms that govern plant biotic interactions. Projects must be strongly justified in terms of fundamental biological processes and/or relevance to agriculture and may be purely fundamental or applied or include aspects of both perspectives. All types of symbiosis are appropriate, including commensalism, mutualism, parasitism, and host-pathogen interactions. Research may focus on the biology of the plant host, its pathogens, pests or symbionts, interactions among these, or on the function of plant-associated microbiomes. The program welcomes proposals on the dynamics of initiation, transmission, maintenance and outcome of these complex associations, includingstudies of metabolic interactions, immune recognition and signaling, host-symbiont regulation, reciprocal responses among interacting species and mechanisms associated with self/non-self recognition such as those in pollen-pistil interactions. Explanatory frameworks shouldinclude molecular, genomic, metabolic, cellular, network and organismal processes, with projects guided by hypothesis and/or discovery driven experimental approaches. Strictly ecological projects that do not address underlying mechanisms are not appropriate for this program. Quantitative modeling in concert with experimental work is encouraged. Overall, the program seeks to support research that will deepen our understanding of the fundamental processes that mediate interactions between plants and the organisms with which they intimately associate and advance the application of that knowledge to benefit agriculture.</t>
  </si>
  <si>
    <t>Low-Cost Chip-Scale Atomic Clock (LC CSAC)</t>
  </si>
  <si>
    <t>Others (see text field entitled "Additional Information on Eligibility" for clarification) This special notice seeks proposals from one or more for-profit firms in accordance with 32 CFR 37.210.  A consortium, led by a for-profit firm, is also encouraged.</t>
  </si>
  <si>
    <t>**PLEASE REVIEW FULL SPECIAL NOTICE**
Funding Opportunity Title: Low-Cost Chip-Scale Atomic Clock (LC CSAC)
Funding Instrument Type: Technology investment agreement
The aim of this Special Notice under the ARL BAA (W911NF-17-S-0003), under Grants.gov Opportunity W911NF-17-S-0003-SPECIALNOTICE-LC-CSAC, is to fund a team or multiple teams to design, manufacture, and deliver a battery-powered atomic clock that achieves identical (or better) size, weight, and power (SWaP) and performance to the commercially available chip-scale atomic clock (CSAC) with a selling price goal of   $300/unit in high volume.
Precise timing is critical for numerous Army applications such as navigation, communications, surveillance, and synchronization of sensors and systems. Assured PNT solutions currently rely on acquiring GPS signals, which may not be readily available in increasingly contested environments. Commercially available silicon MEMS and quartz oscillators (TCXO, OCXO) are unable to provide GPS holdover in the event of a GPS outage, except for high-end OCXOs that may be considered large and power hungry for certain applications. To ease reliance on GPS, long-holdover clocks with SWaP-C appropriate for various DoD platforms are necessary to enable mission-critical functions even in contested environments. Current high-performance atomic clocks (maser, laser-cooled cesium fountain) serve as standards and are large, expensive, and require regular monitoring and exquisite environmental control.
Since the early 2000s, the chip-scale atomic clock (CSAC) has been developed and successfully matured into a commercial product with DARPA and industry investment. While an Army/Air Force/OSD Manufacturing Technology effort further reduced the manufacturing cost1, the current selling price is still prohibitive for high-volume, low-SWaP DoD platforms. There is an opportunity to leverage the many advances in MEMS, photonics, and atomic physics over the past two decades to develop state-of-the-art, high-performance, battery-powered atomic clocks with improved manufacturability, significantly reduced cost, and improved performance.
This special notice seeks proposals from one or more for-profit firms in accordance with 32 CFR 37.210. A consortium, led by a for-profit firm, is also encouraged.
Points of Contact:
Jonathan Hoffman
jonathan.e.hoffman.civ@mail.mil
Jenna Chan
Jenna.f.chan.ctr@mail.mil</t>
  </si>
  <si>
    <t>Small Grants Program</t>
  </si>
  <si>
    <t>Others (see text field entitled "Additional Information on Eligibility" for clarification) The U.S. Mission Geneva welcomes applications from both individuals and organizations based in Geneva or abroad. Registered not-for-profit organizations, including think tanks and civil society/non-governmental organizations, individuals, non-profit or educational institutions, and governmental institutions are eligible to apply. For-profit or commercial entities are not eligible to apply.Eligible proposals will be subject to compliance of U.S. Federal and Public Diplomacy regulations and guidelines, and may also be reviewed by the Office of the Legal Adviser or by other State Department elements. Proposals will be funded based on an evaluation of how the proposal meets the solicitation review criteria, U.S. foreign policy objectives, and Mission priorities.2. Cost Sharing or MatchingCost-sharing is not mandatory for projects, but highly encouraged.</t>
  </si>
  <si>
    <t>The United States Mission to the United Nations and Other International Organizations in Geneva advances U.S. policy at more than 100 international organizations in Geneva. The U.S. Mission engages daily on issues as diverse as humanitarian assistance, global health, international trade, peace and security, arms control, and human rights.The Program:The United States Mission in Geneva is accepting project proposals for its fiscal year 2020 Small Grants Program. The Small Grants Program permits individuals, non-government organizations, think tanks, and government and academic institutions to seek funding for projects that promote U.S. policy priorities in the multilateral sphere. All programs must include a U.S. element or connection. Awards will be made to successful applicants subject to the availability of appropriated funds.Programs can include, but are not limited to, academic and professional lectures or panel discussion; exhibitions and cultural programs; professional and academic exchanges; professional development workshops and training; or public awareness campaigns.Priority Program Areas:Though all submitted projects will be considered for funding, we are currently giving priority to projects that highlight:Human rights, including protection of human rights defendersFreedom of religion or beliefPromoting peace and securityPublic-private partnershipsPreserving core UN valuesPromoting transparency, accountability, and efficiency in the UN systemFurther details about the program and how to apply at the following link: https://geneva.usmission.gov/annual-program-statement/</t>
  </si>
  <si>
    <t>Industry-University Cooperative Research Centers Program</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</si>
  <si>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The Principal Investigator (PI) on a proposal must be a tenured faculty member. Requests for waivers to allow non-tenured faculty or research staff to serve as PI must be submitted in writing to the cognizant Program Officer by the PI's supervisor (e.g., Department Chair or Dean) in advance of proposal submission. Further, written approval from the cognizant Program Director is required prior to proposal submission and should be included as a Single Copy Document in the proposal. The PI must act as the initial Site Director. A PI/Co-PI can have only one active IUCRC Site award at any given time.</t>
  </si>
  <si>
    <t>Program Mission:
_x000D_
The IUCRC program catalyzes breakthrough pre-competitive research by enabling close and sustained engagement between industry innovators, world-class academic teams, and government agencies. IUCRCs help industry partners and government agencies connect directly and efficiently with university researchers to achieve three primary objectives:1) Conduct high-impact research to meet shared and critical industrial needs in companies of all sizes; 2) Enhance U.S. global leadership in driving innovative technology development, and 3) Identify, mentor and develop a diverse, highly skilled science and engineering workforce.
_x000D_
Program Overview:
_x000D_
The IUCRC program provides a structure for academic researchers to conduct fundamental, pre-competitive research of shared interest to industry and government organizations. These organizations pay membership fees to a consortium so that they can collectively envision and fund research, with at least 90% of Member funds allocated to the direct costs of these shared research projects.
_x000D_
IUCRCs are formed around research areas of strategic interest to U.S. industry.Industry is defined very broadly to include companies (large and small), startups and non-profit organizations. Principal Investigators form a Center around emerging research topics of current research interest, in a pre-competitive space but with clear pathways to applied research and commercial development.Industry partners join at inception, as an existing Center grows or they inspire the creation of a new Center by recruiting university partners to leverage NSF support.Government agencies participate in IUCRCs as Members or by partnering directly with NSF at the strategic level.
_x000D_
Universities, academic researchers, and students benefit from IUCRC participation through the research funding, the establishment and growth of industry partnerships, and educational and career placement opportunities for students. Industry Members benefit by accessing knowledge, facilities, equipment, and intellectual property in a highly cost-efficient model; leveraging Center research outcomes in their future proprietary projects; interacting in an informal, collaborative way with other private sector and government entities with shared interests; and identifying and recruiting talent. NSF provides funding to support Center administrative costs and a governance framework to manage membership, operations, and evaluation.
_x000D_
Successful IUCRCs require:
_x000D_
_x000D_
A capable research/management team with an entrepreneurial mindset;_x000D_
Universities, faculty, and students interested in engaging in research of interest to industry;_x000D_
A community of industry partners seeking pre-competitive, use-inspired research projects._x000D_
_x000D_
Each IUCRC is expected to grow and become independently sustainable by the end of the NSF support.</t>
  </si>
  <si>
    <t>U.S. Embassy Praia Ambassador s Special Self-Help (SSH) Program</t>
  </si>
  <si>
    <t>Others (see text field entitled "Additional Information on Eligibility" for clarification) An SSH project must be submitted by an organized group that is motivated, has identified a real need, and has already successfully implemented projects in the community. The project should be feasible and based on the socio-economic context of the local community. Organizational Requirements: All applicants must be registered Non-Profit Organizations (NPOs). We welcome proposals from Community and Non-Governmental Organizations (NGOs) that work directly with communities. Organizations must be able to demonstrate that they have adequate internal controls and financial systems in place. In order to be eligible to receive an award, all organizations must also have a Unique Entity Identifier (UEI) number issued via www.SAM.gov as well as a valid registration on www.SAM.gov. To be eligible for funding the project must meet the following criteria: The project should help improve basic economic or social conditions at the local community level and have long-term value. The project should be high impact, benefiting the greatest number of people possible. Substantial community participation in the activity is required. Contributions may include labor, materials (bricks, sand, gravel, seeds, etc.), land, buildings, or money that is given to ensure the success of the project. [See the section below on  Local Community Involvement ]._x000D_
Funding is limited to one project, which must be completed within twelve (12) months or less._x000D_
Projects must be self-sustaining upon completion. The U.S. Embassy s support for the project is a one-time-only grant contribution. Projects must be within the community s ability to maintain and operate. Requests for large-scale agriculture or construction projects, or for expensive equipment are not considered priority projects._x000D_
Managers of a project should have proof that they are financially responsible and will be able to account for funds sent to them. Having a bank account, or establishing credit with vendors, are examples of such evidence. The requested amount for implementing activities cannot exceed $10,000. Project budgets generally range from $4,000 to $8,000. Limitations/Exclusions from Eligibility: The Self-Help Program may only pay for items and technical assistance that are absolutely necessary for the completion of the project. The program cannot be used for administrative costs, salaries, costs associated with the project manager, travel to and from the Embassy, or items that are not permanent in nature. Costs incurred prior to the actual award of a grant will be reimbursed only by pre-approval of the grants officer at the sole discretion of the Embassy. Additionally, the Special Self-Help Program does not fund:_x000D_
Requests to buy equipment like vehicles, office equipment, copiers, or stereos. Proposals that have a purely police, military, or cultural emphasis. Religious projects unless they genuinely assist the whole community without regard to religious affiliation._x000D_
Personal businesses. Scholarships, donations, or honorariums. Payment for pesticides, herbicides, labor, salaries, operating costs, printing material, fuel, or land._x000D_
To remodel or renovate an existing facility that is in disrepair as a result of neglect or lack of money._x000D_
Office supplies such as pencils, paper, forms, and folders._x000D_
Projects that are partially funded by another donor or from the government of Cabo Verde. Funds cannot be commingled with funds from other donors, international organization, or other U.S. government programs._x000D_
Projects that focus on refugees or displaced persons. There are specific U.S. bilateral or multilateral assistance programs designed to address their needs._x000D_
SSH funds may not be used to buy previously owned equipment, luxury goods, or gambling equipment._x000D_
Salaries or supervision costs for the supervising organization. Contingency estimates also do not qualify._x000D_
We encourage you to contact us with questions.</t>
  </si>
  <si>
    <t>U.S. Embassy Praia welcomes the submission of project applications for funding through the Ambassadorâ€™s Special Self-Help Program (SSH). If interested, please carefully review the instructions below. 
The SSH is a grass-roots grant assistance program that allows U.S. Ambassadors to support local requests for small community-based development projects. The purpose of the Special Self-Help Program is to support communities through modest grants that will positively impact local communities. The SSH philosophy is to help communities help themselves. Projects submitted for SSH must align with one or more U.S. Embassy priorities:  
Economic diversification, including small business creation and income generation  
Projects must aim to 1) generate sustainable income and employment opportunities in local communities, 2) advance economic diversification and encourage use of local natural resources or income generation, 3) promote a culture of entrepreneurship, and/or 4) improve economic or living conditions of a community. 
Women start-ups and women entrepreneurs 
Eligible projects assist women who are launching a business or who are overseeing the early stages of business development (between one to two years). Such projects must promote a culture of women-led entrepreneurship and innovation that can be replicated in the community. Projects must also promote profitable businesses that generate revenue and benefit the community. 
Social and economic inclusion and creation of opportunities 
Projects in this category must assist youth, children, women (particularly female heads of household), and other vulnerable groups to gain access to basic services (for example water, sanitation, and primary/pre-K education). They can also assist the creation of opportunities for vulnerable groups, particularly employment for youth. 
Environmental protection, sustainability, resilience to environmental vulnerabilities, and adaptation to environmental change 
Eligible projects will increase the capacity of communities to cope with vulnerability to drought and other environmental changes by building resilience, increasing capacity to adapt, and promoting income-generating activities. For example, projects may involve activities to improve water management, diversify agricultural practices, or provide benefits to the environment. 
 Local Community Involvement:  
 Local involvement of the organization or group must be at least 10% in cash or in kind of the total project costs. The community contribution of funding may be crucial to make a choice between two viable requestors. In-kind contributions could be: labor (wages of masons and workers), food, accommodation for qualified labor, carts of sand or gravel, bricks for construction, sand, fence, water supply, transportation costs, donations of materials etc. 
Additionally, community leaders can sign a statement of interest. Community leaders include local municipal leaders, religious leaders, civil society leaders, or any governing body that has oversight over where the project will be implemented. One community leader can sign the statement of interest; however, multiple signatures are strongly encouraged. Community leaders may also submit letters of support for the project. 
 Elements of a Successful Project 
 The project is initiated by the community. 
 The project plan contains pre-established long-term goals and a coherent plan to keep the project running in the future. 
 A capable project manager who is a long-term resident in the community is responsible for the project. 
 There is strong coordination and communication among the grant recipient, local leaders, and local government representatives. 
 The project makes use of materials and supplies that can be maintained by the community, and the materials that will not harm the environment. 
 The project has a high beneficiary to budget ratio, benefiting a significant number of community members 
 The project budget is clear, complete, and well defined. 
 The project responds to a community need and is based on a well-developed proposal that is responsive to the priorities and criteria explained in this NOFO. 
 Project activities and results show long-term sustainability. 
Application Documents and Procedures 
1. Applications for Special Self-Help Funds should include the following: 
a. Completed SSH form, which can be downloaded here. 
b. Detailed building plan with dimensions (if necessary/ if small-scale construction envisioned in the project proposal). 
c. Project location (include map if available). 
d. Any additional information/literature you have about your organization and/or project. 
 2. The following documents are required:  
 Mandatory application forms 
Â· (Application for Federal Assistance â€“ organizations)  
Â· (Budget Information for Non-Construction programs) 
 The forms can be downloaded from grants.gov. Instructions are available on the Embassy website at the  grant support resources toolkit 
3. Make sure that the below is addressed in your SSH form, or submit the following: Summary Page: Cover sheet stating the applicantâ€™s name and organization, proposal date, program title, program period proposed start and end date, and brief purpose of the program. Proposal (3 pages maximum): The proposal should contain sufficient information that anyone not familiar with it would understand exactly what the applicant wants to do. You may use your own proposal format, but it must include. Proposal Summary: Short narrative that outlines the proposed program, including program objectives and anticipated impact. Introduction to the Organization or Individual applying: A description of past and present operations, showing ability to carry out the program, including information on all previous grants from the U.S. Embassy and/or U.S. government agencies. Problem Statement: Clear, concise and well-supported statement of the problem to be addressed and why the proposed program is needed. Program Goals and Objectives: The â€œgoalsâ€ describe what the program is intended to achieve. The â€œobjectivesâ€ refer to the intermediate accomplishments on the way to the goals. These should be achievable and measurable. Program Activities: Describe the program activities and how they will help achieve the objectives. Program Methods and Design: A description of how the program is expected to work to solve the stated problem and achieve the goal. Include a logic model as appropriate. Proposed Program Schedule and Timeline: The proposed timeline for the program activities. Include the dates, times, and locations of planned activities and events. Key Personnel: Names, titles, roles and experience/qualifications of key personnel involved in the program. What proportion of their time will be used in support of this program? Program Partners: List the names and type of involvement of key partner organizations and sub-awardees. Program Monitoring and Evaluation Plan: This is an important part of successful grants. Throughout the time-frame of the grant, how will the activities be monitored to ensure they are happening in a timely manner, and how will the program be evaluated to make sure it is meeting the goals of the grant? Future Funding or Sustainability Applicantâ€™s plan for continuing the program beyond the grant period, or the availability of other resources, if applicable. 
 4. Budget Justification Narrative: After filling out the SF-424A Budget (above), use a separate sheet of paper to describe each of the budget expenses in detail. 
 Proposals can be submitted in English or Portuguese languages.  
Submit the complete application package to the U.S. Self-Help Coordinator/ Praia Grants. Applications will be accepted in electronic format, on a rolling basis. Email all required information to praiagrants@state.gov 
 Application Deadline: Applications received after will be considered with the next application period or will not be considered. Project selections will be announced by October. 
Applications will be evaluated on the following factors:  Did the applicant submit all of the materials requested, including but not limited to requirements in the SSH forms found on U.S. Embassy Praiaâ€™s website. Embassy priorities: Does the application describe how the projectâ€™s goals are related to the Embassy priorities stated in this document? Sustainability: Is the project sustainable in the long term? Will the project be able to continue without additional investment? Are the suggested measurements of success adequate? Need: Does the project adequately fulfill a stated need within a community? Budget: Is the budget complete, and well defined? Is the budget reasonable? Completion within one year: Can the project be completed in a single year? Community support: Does the project show strong community support? Impact: Does the project benefit the broadest numbers of beneficiaries possible? Is there a substantial impact on the affected community? Contribution and Group Capabilities: Does the group provide adequate resources and show commitment to the project? Is the group capable of administering the project as designed? 
 Review and Selection Process: A review committee will evaluate all eligible applications.  
Other Required Documentation/ Reporting: Groups selected for funding will subsequently need to submit several required forms, including U.S. Standard Form 424, a grants award document, and any other terms and conditions required by U.S. Embassy Praia. Performance and financial reports will be required throughout the duration of the award. 
Publicity Campaign: It is expected that publicity will be given to the Ambassadorâ€™s Special Self-Help program and its projects, including press and radio releases, photographs, and project site plaques that acknowledge the shared efforts of Cabo Verde and the United States. Publicity costs should be considered in the proposed budget. 
Funding: U.S. Embassy Praia is not required to fund any applications. Submitting an application does not guarantee selection.</t>
  </si>
  <si>
    <t>USAID Biodiversity Conservation</t>
  </si>
  <si>
    <t>Amendment 1: Questions   Answers</t>
  </si>
  <si>
    <t>Foundational Research in Robotics</t>
  </si>
  <si>
    <t>The Foundational Research in Robotics (FRR) program, jointly led by the CISE and ENG Directorates, supports research on robotic systems that exhibit significant levels of both computational capability and physical complexity. For the purposes of this program, a robot is defined as intelligence embodied in an engineered construct, with the ability to process information, sense, plan, and move within or substantially alter its working environment. Here intelligence includes a broad class of methods that enable a robot to solve problems or to make contextually appropriate decisions and act upon them. The program welcomes research that considers inextricably interwoven questions of intelligence, computation, and embodiment. Projects may also focus on a distinct aspect of intelligence, computation, or embodiment, as long as the proposed research is clearly justified in the context of a class of robots.
_x000D_
The focus of the FRR program is on foundational advances in robotics. Robotics is a deeply interdisciplinary field, and proposals are encouraged across the full range of fundamental engineering and computer science research challenges arising in robotics. To be responsive to the FRR program, each proposal should clearly articulate the following three points:
_x000D_
_x000D_
The focus of the research project should be a robot or a class of robots, as defined above. [Is there a robot?]_x000D_
The goal of the project should be to endow a robot or a class of robots with new and useful capabilities or to significantly enhance existing capabilities. [Will a robot gain a new or significantly improved capability?]_x000D_
The intellectual contribution of the proposed work should address fundamental gaps in robotics. [Is robotics essential to the intellectual merit of the proposal?]_x000D_
_x000D_
Meaningful experimental validation on a physical platform is encouraged.
_x000D_
Projects that do not represent a direct fundamental contribution to the science of robotics or are better aligned with other existing programs at NSF should not be submitted to the FRR program.
_x000D_
Potential investigators are strongly encouraged to discuss their projects with an FRR Program Officer before submission. Non-compliant proposals may be returned without review.</t>
  </si>
  <si>
    <t>NIST MEP Disaster Assessment Program</t>
  </si>
  <si>
    <t>Others (see text field entitled "Additional Information on Eligibility" for clarification) Eligible applicants for this funding opportunity are recipients of current MEP Center cooperative agreements. A MEP Center recipient may work individually or may include proposed subawards to other recipients of MEP Center cooperative agreements and/or proposed contracts with other organizations as part of the applicant s proposal, effectively forming a team or consortium.  A MEP Center may only submit one funding application for each FEMA Disaster Declaration and, where an application is submitted with respect to a particular FEMA Disaster Declaration, such MEP Center may not be included as a subawardee or as a project participant in any other applications pertaining to the same FEMA Disaster Declaration. Moreover, a MEP Center that does not submit a funding application for a particular FEMA Disaster Declaration may only be included as a subawardee or as a project participant in one funding application for each FEMA Disaster Declaration.</t>
  </si>
  <si>
    <t>NIST invites applications from current recipients of Manufacturing Extension Partnership Center cooperative agreements (MEP Centers) to perform assessments of small- and medium-sized manufacturers (SMMs) in areas subject to a FEMA Disaster Declaration. These assessments should be designed to identify the impact, if any, to the operations of the SMMs as result of the subject disaster. MEP Centers receiving funding pursuant to this program must also assist impacted SMMs in identifying and accessing Federal, State and local resources to aid in business recovery efforts and, as appropriate, in the development of a risk mitigation plan for future disasters. Award recipients will further be required to share the results of their project, including disaster preparedness lessons learned and SMMs best practices, with other SMMs, NIST and the MEP National NetworkTM in order to help the SMM community with future disaster resilience planning efforts. See Section I. in the Full Announcement Text of this NOFO.</t>
  </si>
  <si>
    <t>Scalable, Adaptive, and Resilient Autonomy (SARA)</t>
  </si>
  <si>
    <t>Others (see text field entitled "Additional Information on Eligibility" for clarification) Participants may be institutions of higher education, for-profit, or non-profitorganizations. Federally Funded Research and Development Centers (FFRDC) may proposeas well, with effort as allowed by their sponsoring agency and in accordance with theirsponsoring agency policy. Proposals may consist of teams from any combination oforganizations (e.g., prime and subawardees), but this is not a requirement for award andaward will only be made to a single entity.</t>
  </si>
  <si>
    <t xml:space="preserve">**CYCLE 4 POSTED ON 10 APRIL 2024. SEE ATTACHED UPDATED ANNOUNCEMENT FOR SPECIFIC TOPICS OF INTEREST IN CYCLE 4 AND SUBMISSION INFORMATION**
**CYCLE 3, ORIGINALLY POSTED ON 21 MARCH 2023, IS UPDATED TO INCLUDE A QUESTION AND ANSWER DOCUMENT AND TO UPDATE THE SUBMISSION DATE TO 5 MAY 2023 BY 1700 EASTERN TIME**
**CYCLE 3 POSTED ON 21 MARCH 2023. SEE ATTACHED UPDATED ANNOUNCEMENT FOR SPECIFIC TOPICS OF INTEREST IN CYCLE 3 AND SUBMISSION INFORMATION**
**CYCLE 2 POSTED ON 8 FEBRUARY 2021. SEE ATTACHED UPDATED ANNOUNCEMENT FOR SPECIFIC TOPICS OF INTEREST IN CYCLE 2 AND SUBMISSION INFORMATION**
Purpose: Future Army forces will need to conduct cross-domain maneuver (CDM) and at times, operate semi-independently, disbursed, and while communications and infrastructure such as Global Positioning System (GPS) are disrupted or denied. Robotics and Autonomous Systems (RAS) will play a key role in expanding the operational reach, situational awareness, and effectiveness of maneuver forces in CDM. The Combat Capabilities Development Command (CCDC) Army Research Laboratory (ARL) is focused on developing fundamental understanding and informing the art-of-the-possible for warfighter concepts through research to greatly improve air and ground based autonomous vehicle perception, learning, reasoning, communication, navigation, and physical capabilities to augment and increase the freedom of maneuver in complex and contested environments. The Scalable, Adaptive, and Resilient Autonomy (SARA) program is focused on developing and experimentally accelerating emerging research in autonomous mobility and maneuverability, scalable heterogeneous and collaborative behaviors, and human agent teaming to realize adaptive and resilient Intelligent Systems that can reason about the environment, work in distributed and collaborative heterogeneous teams, and make op-tempo decisions to enable Autonomous Maneuver in complex and contested environments. In order to achieve this vision, advancements are needed in following:
  Novel methods for all-terrain ground and aerial maneuver to interact with and move through complex environments. 
 Methods for scalable and heterogeneous collaborative behaviors in support of collaborative air and ground manned-unmanned teaming operations.
 Techniques for improved perception, decision-making, and adaptive behaviors for fully autonomous maneuver in contested environments.
 Methods, metrics, and tools to facilitate, simulate, and enable testing and evaluation of emerging approaches for intelligent and autonomous systems under Army relevant constraints and environments 
 Experimental testbeds to develop and refine knowledge products to inform and transition technology to Army stakeholders. 
</t>
  </si>
  <si>
    <t>Linguistics Program - Doctoral Dissertation Research Improvement Grants</t>
  </si>
  <si>
    <t>Others (see text field entitled "Additional Information on Eligibility" for clarification) *Who May Submit Proposals: Proposals may only be submitted by the following:
  -Institutions of Higher Education (IHEs) - Two- and four-year IHEs (including community colleges) accredited in, and having a campus located in the US, acting
     on behalf of their faculty members.Special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*Who May Serve as PI:
DDRI proposals must be submitted with a principal investigator (PI) and a co-principal investigator (co-PI). The PI must be the advisor of the doctoral student or another faculty member at the USIHE where the doctoral student is enrolled. The doctoral student must be a co-PI.</t>
  </si>
  <si>
    <t>The Linguistics Program supports basic science in the domain of human language, encompassing investigations of the grammatical properties of individual human languages, and of natural language in general. Research areas include syntax, linguistic semantics and pragmatics, morphology, phonetics, and phonology.
_x000D_
The program encourages projects that are interdisciplinary in methodological or theoretical perspective, and that address questions that cross disciplinary boundaries, such as (but not limited to):
_x000D_
_x000D_
_x000D_
What are the psychological processes involved in the production, perception, and comprehension of language?_x000D_
_x000D_
What are the computational properties of language and/or the language processor that make fluent production, incremental comprehension or rapid learning possible?_x000D_
How do the acoustic and physiological properties of speech inform our theories of language and/or language processing?_x000D_
What role does human neurobiology play in shaping the various components of our linguistic capacities?_x000D_
How does language develop in children?_x000D_
What social and cultural factors underlie language variation and change?_x000D_
_x000D_
The Linguistics Program does not make awards to support clinical research projects, nor does it support work to develop or assess pedagogical methods or tools for language instruction.
_x000D_
DDRI proposals to document the linguistic properties of endangered languages should be submitted to the Dynamic Language Infrastructure (DLI-DDRI) Program: https://www.nsf.gov/pubs/2019/nsf19607/nsf19607.htm.</t>
  </si>
  <si>
    <t>Advancing Higher Education for Afghanistan s Development</t>
  </si>
  <si>
    <t>USAID-AFG</t>
  </si>
  <si>
    <t>Afghanistan USAID-Kabul</t>
  </si>
  <si>
    <t xml:space="preserve">
The United States Agency for International Development (USAID) is issuing this Annual Program Statement (APS) pursuant to the Foreign Assistance Act (FAA) of 1961, as amended. The Agency will administer any resulting awards in accordance with ADS 303, Parts 200 and 700 of Title 2 of the Code of Federal Regulations (CFR), Uniform Administrative Requirements, Cost Principles, and Audit Requirements for Federal Awards; Standard Provisions for US/Non-US Organizations; as well as the additional requirements in this APS and any Rounds. The USAID Mission in Afghanistan (USAID/Afghanistan) is pleased to announce this Advancing Higher Education for Afghanistanâ€™s Development (AHEAD) APS.
Through this APS, USAID/Afghanistan announces its desire, through addendum posted to the APS, to fund one or multiple awards to test, adopt, and scale creative or innovative solutions to meet development challenges in the area of higher education.
The AHEAD APS is not a Request for Applications (RFA). The APS requests Concept Notes in response to addendum published to this APS. Based on the review of those concept notes led by a USAID team and potential participation in a co-creation process, USAID will determine whether to request a full application from an appropriate partner(s). USAID reserves the right to fund any or none of the concept notes and applications submitted under this APS and its respective addendum. USAID also reserves the right to not conduct a co-creation phase and request full applications from successful Applicants at the Concept Paper stage.
Amendment #01 added on Dec. 22, 2019
The purposes of this Amendment #01 are:
1) to correct the typo on the Closing Date on the cover page of the APS; 
2) to revise Eligibility section of the APS and Addendum 01; and
3) to provide USAID responses to all questions received from prospective applicants. 
</t>
  </si>
  <si>
    <t>NSF Directorate for Engineering - UKRI Engineering and Physical Sciences Research Council Lead Agency Opportunity</t>
  </si>
  <si>
    <t>Others (see text field entitled "Additional Information on Eligibility" for clarification) *Who May Serve as PI:
 br / Each proposal must include at least one US-eligible collaborator as lead PI and at least 1 UK-eligible collaborator as senior personnel.</t>
  </si>
  <si>
    <t>The Directorate for Engineering (ENG), Division of Chemical, Bioengineering, Environmental, and Transport Systems (CBET), the Division of Civil, Mechanical and Manufacturing Innovation (CMMI), and the Division of Electrical, Communications and Cyber Systems (ECCS) of the National Science Foundation and the Engineering, ICT and Manufacturing the Future Themes of the UK Engineering and Physical Sciences Research Council (EPSRC) are pleased to announce the ENG-EPSRC Lead Agency Opportunity. The goal of thisopportunity is to reduce some of the barriers that researchers currently encounter when working internationally. The ENG-EPSRC Lead AgencyOpportunity will allow US and UK researchers to submit a single collaborative proposal that will undergo a single review process.
_x000D_
Proposals will be accepted for collaborative research in areas at the intersection of CBET, CMMI, and/or ECCS with the EPSRC Engineering, ICT and/or Manufacturing the Future Themes. Proposers choose either NSF or EPSRC to serve as the   agency to review their proposal. The non-lead agency will honor the rigorof the review process and the decision of the lead agency. For research teams that would like EPSRC to act as lead agency, please see the instructions at:https://epsrc.ukri.org/about/partner/international/agreements/nsf.
_x000D_
Proposers should review the CBET, CMMI, and ECCS Program Descriptions for research supported through these divisions and the EPSRC website for further information on what areas of research are eligible for support through this activity. Proposals are expected to adhere to typical proposal budgets and durations for the relevantNSF programs and EPSRC Themes from which funding is sought.</t>
  </si>
  <si>
    <t>Science of Learning and Augmented Intelligence (SL)</t>
  </si>
  <si>
    <t xml:space="preserve">Science of Learning and Augmented Intelligence (SL) supports potentially transformative research that develops basic theoretical insights and fundamental knowledge about principles, processes and mechanisms of learning, and about augmented intelligence   how human cognitive function can be augmented through interactions with others or with technology, or through variations in context.
_x000D_
The program supportsresearch addressing learning in individuals and in groups, across a wide range of domains at one or more levels of analysis, including molecular and cellular mechanisms; brain systems; cognitive, affective and behavioral processes; and social and cultural influences.
_x000D_
The program also supports research on augmented intelligence that clearly articulates principled ways in which human approaches to learning and related processes, such as in design, complex decision-making and problem-solving, can be improved through interactions with others or through the use of artificial intelligence in technology. These could include ways of using knowledge about human functioning to improve the design of collaborative technologies that have the capacity to learn to adapt to humans.
_x000D_
For both aspects of the program, there is special interest in collaborative and collective models of learning and intelligence that are supported by the unprecedented speed and scale of technological connectivity.This includes emphasis on how people and technology working together in new ways and at scale can achieve more than either can attain alone. The program also seeks explanations for how the emergent intelligence of groups, organizations and networks intersects with processes of learning, behavior and cognition in individuals. 
_x000D_
Projects that are convergent or interdisciplinary may be especially valuable in advancing basic understanding of these areas, but research within a single discipline or methodology is also appropriate.Connections between proposed research and specific technological, educational and workforce applications will be considered as valuable broader impacts but are not necessarily central to the intellectual merit of proposed research. The program supports a variety of approaches, including experiments, field studies, surveys, computational modeling, and artificial intelligence or machine learning methods.
_x000D_
Examples of general research questions within scope of Science of Learning and Augmented Intelligence (SL)include:
_x000D_
_x000D_
What are the underlying mechanisms that support transfer of learning from one context to another or from one domain to another?How is learning generalized from a small set of specific experiences?What is the basis for robust learning that is resilient against potential interference from new experiences?How is learning consolidated and reconsolidated from transient experience to stable memory?_x000D_
How do human interactions with technologies, imbued with artificial intelligence, provide improved human task performance?What models best describe the interplay of the individual and collaborative processes that lead to co-creation of knowledge and collective intelligence? In what ways do the capacities and constraints of human cognition inform improved methods of human-artificial intelligence collaboration?_x000D_
How can we integrate research findings and insights across levels of analysis, relating understanding of cellular and molecular mechanisms of learning in the neurons, to circuit and systems-level computations of learning in the brain, to cognitive, affective, social and behavioral processes of learning? What is the relationship between assembly of new networks (development) and learning new knowledge in a maturing or mature brain? What concepts, tools (including Big Data, machine learning, and other computational models) or questions will provide the most productive linkages across levels of analysis?_x000D_
How can insights from biological learners contribute and derive new theoretical perspectives to artificial intelligence, neuromorphic engineering, materials science and nanotechnology? How can the ability of biological systems to learn from relatively few examples improve efficiency of artificial systems?How do learning systems (biological and artificial) address complex issues of causal reasoning?How can knowledge about the ways in which humans learn help in the design of human-machine interfaces?_x000D_
</t>
  </si>
  <si>
    <t>Biosensing</t>
  </si>
  <si>
    <t>The Biosensing program is part of the Engineering Biology and Health cluster, which also includes 1) the Biophotonics program; 2) the Cellular and Biochemical Engineering program; 3) the Disability and Rehabilitation Engineering program; and 4) the Engineering of Biomedical Systems program.
_x000D_
The Biosensing program supports fundamental engineering research in the monitoring, identification and/or quantification of biological analytes and phenomena using innovations that exist at the intersection of engineering, life sciences, and information technology. Projects submitted to the program must advance both engineering and life sciences.
_x000D_
The Biosensing program encourages proposals that, in addition to advancing biosensing technology, address critical sensor needs in biomedical research, public health, food safety, agriculture, forensics, environmental protection, and homeland security.
_x000D_
Proposals are especially encouraged in areas of critical need: sensing technologies that can enable monitoring and surveillance of the environment and/or individuals for novel infectious agents; platform technologies that can readily be modified as soon as new agents are detected, sequenced, and/or otherwise characterized to enable rapid deployment of sensors in clinics and the environment; and adaptive and/or multiplex sensing technologies that can help the nation prevent the spread of the next global pandemic.
_x000D_
Major areas of interest for the program include:
_x000D_
_x000D_
Novel signal transduction principles and mechanisms that enable sensitive and specific biosensors, suitable for measurements in multiple areas;_x000D_
Design of novel biorecognition elements and appropriately designed transducing systems to enable adaptable and/or reconfigurable operating parameters in response to environmental changes or application needs at levels of device, system, or data analysis;_x000D_
Development of adaptive and/or evolvable biosensing systems for detection of novel target analytes or analytes under novel conditions;_x000D_
Novel synthetic biology approaches for the development of cell-free and cell-based biosensors; and_x000D_
Combining biosensors with artificial intelligence (AI) methods to improve sensor specificity and response time._x000D_
_x000D_
Innovative ideas outside of the above specific interest areas may be considered. However, prior to submission, it is recommended that the PI contact the program director to avoid the possibility of the proposal being returned without review.
_x000D_
The Biosensors program does not encourage proposals addressing circuit design for signal processing and amplification, computational modeling, and microfluidics for sample separation and filtration. Medical imaging-based measurements are outside of the scope of the program interests. Proposals that rely heavily on descriptive approaches are given lower priority. Proposals for optimizing and/or utilizing established methods for specific applications should be directed to programs focused on the application of sensor technology.
_x000D_
NOTE: Projects related to water and/or soil quality may be jointly supported with the Environmental Engineering program (CBET 1440). Photonic devices with medical imaging and/or optogenetics should be submitted to the Biophotonics program (CBET 7236). Applications of devices for tissue engineering or organ-on-chip systems should be submitted to the Engineering of Biomedical Systems program (CBET 5345). Basic chemical/biochemical sensing mechanisms should be submitted to the Chemical Measurement and Imaging program (CMI 6880) in the Division of Chemistry. Proposals for dynamic biosensing systems, including circuit design for signal/data processing and amplification, and sensing systems through communication and machine learning should be submitted to the Communications, Circuits, and Sensing-Systems program (CCSS 7564) in the Division of Electrical, Communications, and Cyber Systems.
_x000D_
INFORMATION COMMON TO MOST CBET PROGRAMS
_x000D_
Proposals should address the novelty and/orpotentially transformative natureof the proposed work compared to previous work in the field.Also, it is important to address why the proposed work is important in terms of engineering science, as well as to also project the potential impact on society and/or industry of success in the research.The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encouraged.Award duration is five years.The submission deadline for Engineering CAREER proposals is in July every year. Learn more in the 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 Please note that proposals of these types must be discussed with the program director before submission. Grant Opportunities for Academic Liaison with Industry (GOALI)proposals that integrate fundamental research with translational results and are consistent with the application areas of interest to each program are also encouraged. Please note that RAPID, EAGER, and GOALI proposals can be submitted anytime during the year. Details about RAPID, EAGER, and GOALI are available in the Proposal   Award Policies   Procedures Guide(PAPPG), Part 1, Chapter II, Section E: Types of Proposals.
_x000D_
Compliance: Proposals that are not compliant with theProposal   Award Policies   Procedures Guide (PAPPG)will be returned without review.</t>
  </si>
  <si>
    <t>Environmental Engineering</t>
  </si>
  <si>
    <t>The Environmental Engineering program is part of the Environmental Engineering and Sustainability cluster, which also includes 1) the Nanoscale Interactions program; and 2) the Environmental Sustainability program.
_x000D_
Environmental engineering is an interdisciplinary field that applies chemical, biological, and physical scientific principles to protect human and ecological health.
_x000D_
The goal of the Environmental Engineering program is tosupport potentially transformative fundamental research that applies scientific and engineering principles to 1) prevent, minimize, or re-use solid, liquid, and gaseous discharges of pollution to soil, water, and air by closing resource loops or through other measures; 2) mitigate the ecological and human-health impacts of such releases by smart/adaptive/reactive amendments or manipulation of the environment, and 3) remediate polluted environments through engineered chemical, biological, and/or geo-physical processes.
_x000D_
Integral to achieving these goals is a fundamental understanding of the transport and biogeochemical reactivity of pollutants in the environment. Therefore, research on environmental micro/biology, environmental chemistry, and environmental geophysics may be relevant providing the research has a clear objective of protecting human and ecological health.
_x000D_
Major areas of interest include (but are not limited to): 
_x000D_
_x000D_
Building afuture without pollution or waste: Investigation of innovative biogeochemical processes that prevent or minimize the production of waste; waste valorization and other research that will lead to new technologies toextract resources from waste streams to close the resource loop._x000D_
Sustainable supply and protection ofwater: Investigation of innovative biogeochemical processesthat remove, biologically or chemically transform, and/or prevent therelease of contaminants in surface and groundwater; innovative processesfor recovery of water, nutrients, and other resources from wastewater,saline water, or brines; innovative approaches to smart and adaptive management of surface water, groundwater, and urban watersheds and storm water to maintain/improve quality and prevent downstream impacts from nutrients and other water constituents._x000D_
Environmentalchemistry, fate, and transport of nutrients and contaminants of emergingconcern in air, water, soils, and sediments:Investigation of transport and biogeochemical reactivity in theenvironment; environmental forensics to identify sources and reaction pathways; field- and laboratory scale experimental research that bridgesgaps between data and predictions from molecular, continuum, and field-scale modeling._x000D_
Environmentalengineering of the built environment: Research to understand the biogeochemical reactivity of the builtenvironment with the goal of enhancing and improving human and ecological health; research that will lead to new technologies to improve outdoor and indoor air quality; research to understand how drinking water and wastewater chemical characteristics and microbial community structure impact or are affected by water quality and human health._x000D_
_x000D_
NOTE: Proposals with a scientific focus on chemical or physical separation processes (for example, materials or processes for reverse osmosis, membrane distillation, and hypo-filtration) should be submitted to the Interfacial Engineering program (CBET 1417). Proposals that seek to advance fundamental and quantitative understanding of the behaviors of nanomaterials and nanosystems should be submitted to the Nanoscale Interactions program (CBET 1179). Proposals focused on in vitro molecular-level environmental chemistry research should be submitted to Environmental Chemical Sciences program (CHE-ECS 6882). Proposals focusing on industrial ecology, green engineering, and ecological/earth systems engineering should be submitted to the Environmental Sustainability program (CBET 7643). Proposals whose main research focus is on materials development, sensors, or environmental monitoring that do not seek to understand biogeochemical reactivity mechanisms or treatment efficiency are not encouraged and may be returned without review.
_x000D_
Innovative proposals outside of these specific interest areas may be considered. However, prior to submission, it is recommended that the PI contact the program director to avoid the possibility of the proposal being returned without review.
_x000D_
INFORMATION COMMON TO MOST CBET PROGRAMS
_x000D_
Proposals should address the novelty and/orpotentially transformative natureof the proposed work compared to previous work in the field. Also, it is important to address why the proposed work is important in terms of engineering science, as well as to also project the potential impact on society and/or industry of success in the research. The novelty or potentially transformative nature of the research should be included, as a minimum, in the Project Summary of each proposal.
_x000D_
The duration of unsolicited proposal awards in CBET is generally up to three years. Single-investigator award budgets typically include support for one graduate student (or equivalent) and up to one month of PI time per year(awards for multiple investigator projects are typically larger). Proposal budgets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
_x000D_
Faculty Early Career Development(CAREER)program proposals are strongly encouraged. Award duration is five years. The submission deadline for Engineering CAREER proposals is in July every year. Learn more in the CAREER program description.
_x000D_
Proposals for Conferences, Workshops, and Supplements: PIs are strongly encouraged to discuss their requests with the program director before submission of the proposal.
_x000D_
Grants forRapid Response Research(RAPID)andEArly-concept Grants for Exploratory Research(EAGER)are also considered when appropriate.Please note that proposals of these types must be discussed with the program director before submission.Grant Opportunities for Academic Liaison with Industry (GOALI)proposals that integrate fundamental research with translational results and are consistent with the application areas of interest to each program are also encouraged.Please note that RAPID, EAGER, and GOALI proposals can be submitted anytime during the year. Details about RAPID, EAGER, and GOALI are available in the Proposal   Award Policies   Procedures Guide(PAPPG), Part 1, Chapter II, Section E: Types of Proposals.
_x000D_
Compliance: Proposals that are not compliant with theProposal   Award Policies   Procedures Guide (PAPPG)will be returned without review.</t>
  </si>
  <si>
    <t>Security and Preparedness</t>
  </si>
  <si>
    <t xml:space="preserve">The Security and Preparedness (SAP) Programsupports basic scientific research that advances knowledge and understanding of issues broadly related to global and national security. Research proposals are evaluated on the criteria of intellectual merit and broader impacts; the proposed projects are expected to be theoretically motivated, conceptually precise, methodologically rigorous, and empirically oriented. Substantive areas include (but are not limited to) international relations, global and national security, human security,political violence, state stability, conflict processes, regime transition, international and comparative political economy, and peace science. Moreover, the Program supports research experiences for undergraduate students and infrastructural activities, including methodological innovations. The Program does not fund applied research. In addition, we encourage you to examine the websites for the National Science Foundation'sAccountable Institutions and Behavior(AIB) and Law and Science (LS) programs.
_x000D_
</t>
  </si>
  <si>
    <t>Accountable Institutions and Behavior</t>
  </si>
  <si>
    <t>The Accountable Institutions and Behavior (AIB) Program supports basicscientific research that advances knowledge and understanding of issues broadly related to attitudes, behavior, and institutions connected to public policy and the provision of public services.Research proposals are expected to be theoretically motivated, conceptually precise, methodologically rigorous, and empirically oriented. Substantive areas include (but are not limited to) the study of individual and group decision-making, political institutions (appointed or elected), attitude and preference formation and expression, electoral processes and voting, public administration, and public policy. This work can focus on a single case or can be done in a comparative context, either over time or cross-sectionally.The Program does not fund applied research.The Program also supports research experiences for undergraduate students and infrastructural activities, including methodological innovations.In addition, we encourage you to examine the websites for the National Science Foundation s Law and Science(LS) and Security and Preparedness (SAP) programs.</t>
  </si>
  <si>
    <t>National Space Grant College and Fellowship Program - Opportunities in NASA STEM FY 2020   2024</t>
  </si>
  <si>
    <t>Others (see text field entitled "Additional Information on Eligibility" for clarification) Space Grant Lead Institutions as defined here: https://www.nasa.gov/offices/education/programs/national/spacegrant/home/Space_Grant_Consortium_Websites.html</t>
  </si>
  <si>
    <t xml:space="preserve"> 
This Cooperative Agreement Notice is a multi-year award thataims to contribute to NASAâ€™s mission, Office of STEM Education priorities,Co-STEM goals, Mission Directorate collaborations, and state based needs.  The multi-year award will be available to allSpace Grant Consortia who will work with the Office of STEM Engagement tofulfill these objectives.  Through thecombined efforts of the Space Grant Consortia, this program will 1) enablecontributions to NASAâ€™s work, 2) build a diverse, skilled future workforce, and3) strengthen understanding of STEM through powerful connections to NASA.  The program will focus on providingopportunities for students to engage with NASAâ€™s aeronautics, space, andscience people, content, and facilities in support of a diverse future NASA andaerospace industry workforce, as well as, providingopportunities for students to contribute to NASAâ€™s aeronautics, space, andscience missions and work in exploration and discovery through MissionDirectorate collaborations.    
Everyinstitution that intends to submit a proposal to this NRA, including theproposed prime award or any partner whether an education institution, and otherorganizations that will serve as sub-awardees or contractors, must be registered in NSPIRES. Electronicsubmission of proposals is required by the due date and must be submitted byan authorized official of the proposing organization. Such registrationmust identify the authorized organizational representative(s) who will submitthe electronic proposal. All principal investigators and other participants(e.g. co-investigators) must be registered in NSPIRES regardless of submissionsystem. Potential proposers and proposing organizations are urged to accessthe system(s) well in advance of the proposal due date(s) of interest tofamiliarize themselves with its structure and enter the requested information.Electronic proposals may be submitted via the NASA proposal data systemNSPIRES. Additional programmatic information for this NRAmay develop before the proposal due date. If so, such information will be addedas a Frequently Asked Question (FAQ) or formal amendment to this NRA and postedon http://nspires.nasaprs.com. It is the proposerâ€™s responsibility to regularly check NSPIRESfor updates to this NRA.   
 P oint of Contact 
Name:   Erica J. Alston 
Title:   Deputy Space GrantProgram Manager  
Phone:   757-864-7247  
E-mail:   SGCFP@nasaprs.com  
</t>
  </si>
  <si>
    <t>Defense Production Act Title III Expansion of Domestic Production Capability and Capacity</t>
  </si>
  <si>
    <t>DOD-AFRL</t>
  </si>
  <si>
    <t>Air Force -- Research Lab</t>
  </si>
  <si>
    <t>Unrestricted (i.e., open to any type of entity above), subject to any clarification in text field entitled "Additional Information on Eligibility" unrestricted to for profit and not for profit organizations only.  Government organizations, and individuals are not solicited for this effort.</t>
  </si>
  <si>
    <t>Defense Production Act Title III Expansion of Domestic Production Capability and Capacity Hybrid Funding Opportunity AnnouncementAmendment 3, dated 30 Mar 2022, hereby replaces FOA Amendments 1 and 2. The following FOA sections have been updated/revised: Overview InformationFull Text Announcement Sections: IV. Open FOA (Two Step Process) VII. FOA with Calls (One Step Process)FOA Appendices Appendix II â€“ Sample Technology Investment Agreement, dated 30 MAR 2022Updates were also made throughout the FOA document and Appendix II to correct broken hyperlinks and/or outdated website referencesAmendment 2 posted 28 April 2020 - Contracting POCs are changed and the mailing addresses remain the same: Please do not send anything to Sheila Titer nor Sarah Thompson. Please send to the new team shown below:Agreements OfficerWhitney Foxbowerwhitney.foxbower@us.af.mil937-713-9877Agreements NegotiatorFelicia Bibbsfelicia.bibbs@us.af.mil937-713-9901In the future, a revised FOA document will be provided via this site.</t>
  </si>
  <si>
    <t>Others (see text field entitled "Additional Information on Eligibility" for clarification) Locally based(in Turkmenistan) Non-profit organisations</t>
  </si>
  <si>
    <t xml:space="preserve">The U.S. Embassy Ashgabat Public Affairs Section (PAS) is pleased to announce the Embassyâ€™s Small Grants program. 
Funding is available for projects that address the priority areas below and focus on PASâ€™s key audiences, including: civil society, entrepreneurs, women, and youth.  
Priority themes: 
â€¢economic empowerment and entrepreneurship, particularly for women, youth, and vulnerable populations to advance economic independence and sustainable development. (commercial activity or specific businesses/startups will not be considered); 
â€¢promoting rule of law and legal reform;
â€¢assisting people with disabilities; 
â€¢promoting environmental awareness by creating citizen understanding of sustainable management of ecosystems and natural resources.  PAS administers the Small Grants Program.  
This program supports the development of Turkmenistanâ€™s democratic institutions and civil society by competitively awarding grants to Turkmenistan non-profit civil society organizations.  American or other donor country organizations or individuals are not eligible for grants under this program.
In order to be eligible to receive an award, all organizations must have a unique entity identifier (DUNS number), as well as a valid registration on www.SAM.gov. 
There are two submissions methods available to applicants. 
  â€¢Submission Method A: Submit all application materials directly to the following email address: PASAshgabatGrants@state.gov.  
â€¢Submission Method B: Submit all application materials through Grants.gov.  For those opting to apply through Grants.gov, thorough instructions on the application process are available at http://www.grants.gov.  Please note    PASAshgabatGrants @state.gov is unable to assist with technical questions or problems applicants experience with Grants.gov. 
All details about this funding opportunity are included in the attachment to Annual Program Statement. 
Applications are accepted in English and Russian, however, final grant agreements will be concluded in English only. 
If you have any questions please contact: PASAshgabatGrants@state.gov.  
 </t>
  </si>
  <si>
    <t>Initiative for Human Rights</t>
  </si>
  <si>
    <t>Others (see text field entitled "Additional Information on Eligibility" for clarification) U.S. and non-U.S. nongovernmental organizations (other than those from foreign policy restricted countries), including but not limited to foundations, academic and research organizations, faith-based organizations, for-profit private enterprises, and consortia. Individuals are not eligible to participate.</t>
  </si>
  <si>
    <t xml:space="preserve">Addendum #2 Initiative for Human Rights Amendment 1 
Issuance Date: May 9, 2019 
Closing Date for Concept Papers: May 29, 2019, 9:00 AM Manila time 
The  purpose of this Amendment is to provide responses to questions received for above Addendum #2. 
In addition to this Amendment, Applicants must read the APS Initiatives for Democracy Amendment #1 (file name: 72049219APS00001 Amendment 1.pdf), APS Initiatives for Democracy Amendment #1 Attachment 1 (Responses to Questions) (file name: Attachment 1 - Response to Questions.pdf) and all future amendments. These files can be found under the "Related Documents" tab of this funding opportunity. 
</t>
  </si>
  <si>
    <t>High-Risk Research in Biological Anthropology and Archaeology</t>
  </si>
  <si>
    <t>Anthropological research may be conducted under unusual circumstances, often in distant locations. As a result the ability to conduct potentially important research may hinge on factors that are impossible to assess from a distance and some projects with potentially great payoffs may face difficulties in securing funding. This program gives small awards that provide investigators with the opportunity to assess the feasibility of an anthropological research project. It is required that the proposed activity be clearly high risk in nature. The information gathered may then be used as the basis for preparing a more fully developed research program. 
_x000D_
Investigators must contact the cognizant NSF Program Director before submitting an HRRBAA proposal. This will facilitate determining whether the proposed work is appropriate for HRRBAA support.</t>
  </si>
  <si>
    <t>Supporting Emergency Agriculture Design and Standards (SEADS)</t>
  </si>
  <si>
    <t>Unrestricted (i.e., open to any type of entity above), subject to any clarification in text field entitled "Additional Information on Eligibility" See APS Section C for applicant eligibility details.</t>
  </si>
  <si>
    <t xml:space="preserve">&lt;div style="mso-element:para-border-div;border:none black 1.0pt;mso-border-alt:_x000D_
none black 0in;padding:0in 0in 0in 0in;margin-left:0in;margin-right:-12.6pt;"&gt; 
 &lt;p style="margin-bottom:0in;margin-bottom:.0001pt;line-height:_x000D_
normal;border:none;mso-border-alt:none black 0in;padding:0in;mso-padding-alt:_x000D_
0in 0in 0in 0in;mso-border-between:0in none black;mso-padding-between:0in"&gt;Under this APS, the United States Agency for International Development (USAID) Office of U.S. Foreign Disaster Assistance (OFDA) will consider applications for the development and dissemination of Supporting Emergency Agriculture Design and Standards (SEADS). Applicant Eligibility Information for this award is described in Section C of this Notice of Funding Opportunity (NFO). Subject to the availability of funds, USAID intends to award a single Cooperative Agreement to a responsible applicant whose application best meets the objectives of this funding opportunity and the selection criteria contained herein. USAID reserves the right to fund one or more or none of the applications submitted.   
</t>
  </si>
  <si>
    <t>Local Organizations Network Project (LON)</t>
  </si>
  <si>
    <t>Others (see text field entitled "Additional Information on Eligibility" for clarification) Local non-governmental entities are eligible to submit a concept paper. USAID welcomes concept papers/applications from organizations which have not previously received financial assistance from USAID. Only local organizations as defined below are eligible for award. USAID defines a  local entity  as an individual, a corporation, a nonprofit organization, or another body of persons that:(1) Is legally organized under the laws of; and(2) Has as its principal place of business or operations in; and(3)	Is majority owned by individuals who are citizens or lawful permanent residents of; and(4)	Is managed by a governing body the majority of who are citizens or lawful permanent residents of the country receiving assistance.For purposes of this section,  majority owned  and  managed by  include, without limitation, beneficiary interests and the power, either directly or indirectly, whether exercised or exercisable, to control the election, appointment, or tenure of the organization s managers or a majority of the organization s governing body by any means.The recipients must be responsible entities and must have the necessary organizational experience, accounting, operational controls and technical skills, or ability to obtain them in order to achieve the objectives of the project and comply with the terms and conditions of the award.Concept papers from organizations that do not meet the above eligibility criteria will not be reviewed and evaluated. Individuals are not eligible to apply for this APS.</t>
  </si>
  <si>
    <t>Amendment #7 to Annual Program Statement 7200AA19APS00001, Local Organizations Network Project (LON) extend the deadline of the APS thru Jun.14.2024.Amendment #5 to Annual Program Statement: 7200AA19APS00001, Local Organizations Network Project (LON)Dear Prospective Applicants:The purposes of this Amendment #05 are to:Extend the end date of the APS from September 04, 2020 to February 26, 2021Provide responses to questions submitted as of January 15, 2020 in Attachment 1.To amend the procedure for submission of Concept Papers under the APS by including country-specific Addenda. To notify interested eligible local organizations to refer to forthcoming Addenda and follow the specific instructions and submission deadlines therein, in order to tailor Concept Paper submissions to the specific requests of the Agency. Please note that the process for submitting Concept Papers has changed substantially. The APS is an umbrella funding opportunity, and establishes the overall purpose, criteria, process, and rationale for this activity. In addition to the umbrella APS, USAID will subsequently express specific programmatic and geographic priorities through individual, country-specific Addenda which will solicit Concept Paper submissions. Such Addenda will be issued on an as-needed basis, to reflect the particular programmatic or geographic focus of a USAID Mission, or Bureau/Independent Office (B/IO).Concept Papers should not be submitted in response to this umbrella APS, but only in response to subsequent Addenda which will provide the specific instructions and deadlines. If your organization has already submitted a Concept Paper for Round 2 of the APS, your Concept Paper may not address the specific programmatic needs in the country. Organizations are encouraged to review Addenda for the specific countries and revise the Concept Paper accordingly.</t>
  </si>
  <si>
    <t>Resilient Governance in Niger (RGN)</t>
  </si>
  <si>
    <t>This USAID/Sahel Regional Office (SRO) RFI is issued for the purpose of providing  stakeholders an opportunity to review, comment, suggest, and enhance areas in the attached draft design document  for a new USAID/Sahel Regional Office activity: the Resilient Governance in Niger activity (RGN). RGN is expected to be an $18,000,000, three-year activity, with two option years for a total of five years, subject to the availability of funds. RGN will serve leading governance activity in Niger under the USAIDâ€™s Resilience in the Sahel II Project (RISE II). RGN will address Objective 4: Enhance governance of institutions and organizations, of the RISE II results framework (attached), specifically sub-IR 4.1: Improved performance of sub-national state institutions and sub-IR 4.2: Strengthened local civil society and community based organizations. The Activity is intended to support locally-driven, politically feasible approaches to enhance:  
  Municipal government and citizen understanding of the roles and responsibilities of municipal governments and deconcentrated national authorities, and intergovernmental communications concerning local governance;  
  Planning, budgeting and administrative capacity of municipal governments to manage and mobilize financial and human resources for locally-determined service and infrastructure needs; and  
  Civic engagement in communal governance - in determining local priorities, and in holding government accountable to meet its obligations  
   USAID has revised its program cycle guidance to facilitate more adaptive, contextually-driven programming approaches, and the choice of a high-level, objective-oriented  design rather than a more prescriptive scope reflects this. The attached draft presents RGNâ€™s proposed objectives and expected outcomes. USAID/Sahel Regional Office may significantly revise this proposed new activity and planned solicitation resulting from the comments received, and from further stakeholder consultations. This RFI is issued solely for information and planning purposes and does not constitute a Request for Applications or Proposals (RFA/RFP). Responses to this RFI shall not be portrayed as proposals and will not be accepted by the U.S. Government (USG) to form a binding agreement. This RFI is not to be construed as a commitment by the USG to issue any solicitation or ultimately award of an assistance agreement or contract on the basis of this RFI, or to pay for any information submitted as a result of this request. Responders are solely responsible for all expenses associated with responding to this RFI. USAID reserves the right to modify the scope and scale of the RFI (following the pre-solicitation conference). It should be noted that responding to or providing comment on this RFI will not give any advantage to any organization in any subsequent procurement. USAID/Sahel Regional Office will not provide answers to any question submitted in response to this request.By issuing the draft for comment, USAID/Sahel Regional Office aims to consult with a broad community of public and private sector actors concerned with improving governance and service delivery in Niger. Your comments are requested to help refine the draft design document to ensure clarity, maximum development impact, coordination with existing and planned USAID and other development partner programs, and alignment with the Government of Nigerâ€™s priorities. Please provide no more than four  (4) pages of comments no later than December 24, 2018 via email to sahelregional@usaid.gov. While the limit on the length of submissions is four pages, we value concise, issue-specific comments with reference to page and section numbers in the draft design document. You may receive an electronic confirmation acknowledging receipt of your response.  USAID seeks feedback in particular on the following questions:1)  Are the Activity theory of change and expected outcomes clear and realistic? 2) Does the program description provide potential implementers with sufficient information and guidance about USAID/SROâ€™s objectives and expectations?3) RGN is intended to embody principles of flexible, adaptive management and context-driven, locally-owned approaches to systems change. What suggestions do you have for how to ensure this is well-reflected in a solicitation/notice of funding opportunity? USAID will hold a Pre-Solicitation Conference on Wednesday December 19, 2018 at the U.S. Embassy in Dakar from 14:30 to 17:00 local time (GMT). For convenience, participation through webinar will be provided.Organizations may send up to two (2) participants to the conference in-person. Additionally, others may connect remotely. To facilitate better planning, please RSVP your attendance by filling-in the registration form no later than December 12, 2018 indicating whether you will participate in-person in Dakar, or call in remotely. Link for registration form:  https://goo.gl/forms/IjVTjZu764kWwRsF3  We will send you the remote connection information once we receive the RSVP.</t>
  </si>
  <si>
    <t>Renewable Energy Systems and Energy Efficiency Improvements Program</t>
  </si>
  <si>
    <t>Others (see text field entitled "Additional Information on Eligibility" for clarification) Agricultural Producers</t>
  </si>
  <si>
    <t>REAP Renewable Energy Systems and Energy Efficiency Improvement Program.Refer to Application Package AND Application Instruction links to obtain all necessary forms for a complete application.Contact State Energy Coordinators with questions: http://www.rd.usda.gov/files/RBS_StateEnergyCoordinators.pdf</t>
  </si>
  <si>
    <t>One Health Workforce (OHW) Next Generation</t>
  </si>
  <si>
    <t>Others (see text field entitled "Additional Information on Eligibility" for clarification) Applicants will be required to apply as part of a coalition that includes faculties and schools of public health, animal health, medicine, the environment, and public administration at tertiary higher education institutions in the United States and/or overseas. The prime must be an accredited, degree-offering higher education institution or an association comprised of accredited, degree-offering higher education institutions. All types of organizations, including colleges and universities, non-governmental organizations, not for-profit organizations, for-profit organizations, small businesses, private voluntary organizations, and faith-based organizations, will be eligible to participate as sub-recipients. Minority-serving institutions of higher education are encouraged to apply. As beneficiary institutions, university members of the African and Southeast Asian One Health (OH) university networks (One Health Central and East Africa and Southeast Asia One Health University Network) will not be eligible to apply.</t>
  </si>
  <si>
    <t xml:space="preserve"> 
&lt;span style="font-size:10.0pt;_x000D_
font-family:Arial,sans-serif;color:#222222;"&gt;Invitation: Pre-Application Conference (Amendment 5)&lt;span style="font-size:10.0pt;font-family:Arial,sans-serif;_x000D_
color:#363636;"&gt;  
&lt;span style="font-size:10.0pt;_x000D_
font-family:Arial,sans-serif;color:#222222;"&gt;Purpose:  
&lt;p style="margin-left:.5in;text-indent:-.25in;line-height:13.5pt;background:_x000D_
white"&gt;&lt;span style="font-size:10.0pt;font-family:Arial,sans-serif;_x000D_
color:#222222;"&gt;1)   Upload pre-application conference presentations, questions and answers, and list of participants&lt;span style="font-size:_x000D_
9.0pt;font-family:Arial,sans-serif;color:#363636;"&gt;  
&lt;span style="font-size:10.0pt;_x000D_
font-family:Arial,sans-serif;color:#222222;"&gt;Dear International Development Community:&lt;span style="font-size:10.0pt;font-family:Arial,sans-serif;_x000D_
color:#363636;"&gt;  
&lt;span style="font-size:10.0pt;_x000D_
font-family:Arial,sans-serif;color:#222222;"&gt;The United States Agency for International Development (USAID) invited organizations working on the prevention, detection, and response of infectious disease threats to participate in the pre-application conference organized by USAIDâ€™s Emerging Threats Division held on November 29, 2018, in Washington, DC. A call-in line was also available for Washington's conference.   
&lt;span style="font-size:10.0pt;font-family:Arial,sans-serif;_x000D_
color:#222222;"&gt;This amendment provides a copy of the PowerPoint presentations presented in the conference, questions and answers, and the list of participants.&lt;span style="font-size:10.0pt;font-family:Arial,sans-serif;_x000D_
color:#363636;"&gt;  
&lt;span style="font-size:10.0pt;_x000D_
font-family:Arial,sans-serif;color:#222222;"&gt;At the meeting in Washington, D.C., USAID discussed a Request for Information (RFI) provided as Annex 1 soliciting feedback from a broad range of stakeholders, including the higher education community, on a planned activity to equip current and future workforces with the multisectoral skills and competencies required to address infectious disease threats.  
&lt;span style="font-size:10.0pt;_x000D_
font-family:Arial,sans-serif;color:#363636;"&gt;The RFI (Appendix 1) was posted for the following purposes:  
&lt;p style="margin-left:.5in;text-indent:-.25in;line-height:13.5pt;background:_x000D_
white"&gt;&lt;span style="font-size:10.0pt;font-family:Arial,sans-serif;_x000D_
color:#363636;"&gt;1) To obtain feedback on questions pertinent to the RFI (Appendix 1)  
&lt;p style="margin-left:.5in;text-indent:-.25in;line-height:13.5pt;background:_x000D_
white"&gt;&lt;span style="font-size:10.0pt;font-family:Arial,sans-serif;_x000D_
color:#363636;"&gt;2) To provide industry and stakeholders an opportunity to review, comment and provide suggestions for improvement or clarification of the DRAFT Program Description for One Health Workforce Next Generation activity (Appendix 2)  
The comments to the Program Descriptions will not be shared; however, questions and responses as result to this RFI are made public with this amendment.&lt;span style="font-size:_x000D_
10.0pt;font-family:Arial,sans-serif;color:#363636;"&gt;  
&lt;span style="font-size:10.0pt;_x000D_
font-family:Arial,sans-serif;color:#363636;"&gt;Addressing infectious disease threats requires workforces that not only have the technical skills and competencies to function within their own discipline and sector, but also possess the skills to effectively and sustainably work across sectors and disciplines. USAID has invested for nearly a decade in the development of two regional OH university networks in Africa and Southeast Asia that are committed to transforming health workforces to function more effectively and across sectors: One Health Central and East Africa (OHCEA), which is based in Kampala, Uganda, and Southeast Asian One Health University Network (SEAOHUN), which is based in Chiangmai, Thailand. These networks are comprised of 144 schools and faculties in 84 universities across 12 countries. Under OHW Next Generation, USAID plans to build on this investment by strengthening the organizational capacity of these two networks to use assessments of multisectoral workforce capacity to inform the design and adaptation of training and educational offerings, develop and deliver educational offerings in alignment with prioritized One Health core competencies and technical skills, and acquire and manage direct donor funding.  
&lt;span style="font-size:10.0pt;_x000D_
font-family:Arial,sans-serif;color:#363636;"&gt;One cooperative agreement will be awarded to a qualified higher education institution that will represent a coalition of universities and other public and private sector organizations that will work with OHCEA and SEAOHUN, as beneficiary institutions. More information on eligibility can be found under the â€œEligibilityâ€ section of this Synopsis.  
Thank you for your interest in USAIDâ€™s Emerging Threats Programming.  
THIS NOTICE IS NOT A COMMITMENT TO AWARD. &lt;span style="font-size:10.0pt;font-family:_x000D_
Arial,sans-serif;color:#363636;"&gt;  
&lt;span style="font-size:_x000D_
10.0pt;font-family:Arial,sans-serif;color:#363636;"&gt;All of the information contained in this Notice is subject to change.  
</t>
  </si>
  <si>
    <t>Crosscutting Activities in Materials Research</t>
  </si>
  <si>
    <t xml:space="preserve">Crosscutting Activities in Materials Research (XC) coordinates and supports crosscutting activities within the Division of Materials Research (DMR) and more broadly across NSF.
_x000D_
The emphasis within XC is diversity and inclusion, international cooperation, and education (including experiential learning at REU/RET Sites). Additionally, activities that broadly engage the community, such as summer schools, institutes, workshops, and conferences that do not fit within just one or two programs in the Division of Materials Research, may be supported by XC.If preparing a workshop proposal, follow the Special Guidelines for Conference Proposals outlined in the Proposal   Award Policies   Procedures Guide (PAPPG). Occasionally projects crossing several programs in DMR are shifted to XC or co-funded by XC. The goal is to bring greater visibility to these projects through DMR s XC website.
_x000D_
Proposals are welcome that do not fit elsewhere at NSF that are also highly relevant for the materials research and education community. Some XC activities are co-funded with other NSF units. XC does not handle traditional research proposals suitable for submission to topical or other programs in DMR. For this reason, the XC Team welcomes inquiries that include a draft of one-page NSF summary, or a shorter write-up. It is highly recommended that you contact one of the Program Directors for XC prior to submission of a full proposal exceeding $50,000.
_x000D_
Crosscutting Activities in Materials Research (XC) replaced the Office of Special Programs in Materials Research (OSP) in 2016.
_x000D_
Diversity:
_x000D_
_x000D_
Activitiesthat focus on broadening participation of underrepresented groups and/or diversity and inclusion are supported._x000D_
Supplements(e.g., CLB, AGEP-GRS, MPS-GRSV and ROAs) are handled by the cognizantProgram Director of the original award. See the Related Publications section below for more information._x000D_
XC supports Facilitation Awards for Scientists and Engineers with Disabilities (see Proposal   Award Policies   Procedures Guide, Chapter II.E.6 for details) https://www.nsf.gov/pubs/policydocs/pappg18_1/pappg_2.jsp#IIE6_x000D_
_x000D_
International:
_x000D_
_x000D_
In2016 a Dear Colleague Letter outlining collaborative projectswith Israel (BSF)was issued; it remains active until archived._x000D_
Submissionof full proposals with an international component may be made to thedisciplinary programs (but not to XC directly)._x000D_
Supplementsare handled by the cognizant Program Director of the original award._x000D_
Discontinuedin 2014: The previous International Materials Institutes (IMI)and Materials World Network (MWN) programs are no longer supported._x000D_
_x000D_
Education:
_x000D_
_x000D_
Innovativeand creative ideas in education (e.g., materials science and/or engineering, solid state and materials chemistry, condensed matterphysics, integrated computational materials science/engineering, ormaterials data science/analytics) that do not have a forum elsewhere at NSFare of interest._x000D_
XC encourages outreach and/or materials education proposals targeting underserved populations such as K-12students in rural communities and those designed to increase public scientific literacy._x000D_
_x000D_
Research Experiences for Undergraduates (REU)/ Research Experiences for Teachers (RET): reu.dmr@nsf.gov
_x000D_
_x000D_
XCcoordinates the REU and RET Sites activities within DMR. See theREU Site Solicitationfor deadlines and additional program information._x000D_
REU/RET supplements to research proposals are handled by the cognizant ProgramDirector of the original award._x000D_
</t>
  </si>
  <si>
    <t>Advanced Manufacturing</t>
  </si>
  <si>
    <t>The Advanced Manufacturing (AM) program supports the fundamental research needed to revitalize American manufacturing to grow the national prosperity and workforce, and to reshape our strategic industries. The AM program accelerates advances in manufacturing technologies with emphasis on multidisciplinary research that fundamentally alters and transforms manufacturing capabilities, methods and practices. Advanced manufacturing research proposals should address issues related to national prosperity and security, and advancing knowledge to sustain global leadership.
_x000D_
Areas of research, for example, include manufacturing systems; materials processing; manufacturing machines; methodologies; and manufacturing across the length scales. Researchers working in the areas of cybermanufacturing systems, manufacturing machines and equipment, materials engineering and processing, and nanomanufacturing are encouraged to transcend and cross domain boundaries. Interdisciplinary, convergent proposals are welcome that bring manufacturing to new application areas, and that incorporate challenges and approaches outside the customary manufacturing portfolio to broaden the impact of America s advanced manufacturing research.
_x000D_
Proposals of all sizes will therefore be considered as justified by the project description. Investigators are encouraged to discuss their ideas with AM program directors well in advance of submission at AdvancedManufacturing@nsf.gov.</t>
  </si>
  <si>
    <t>Operations Engineering</t>
  </si>
  <si>
    <t>The Operations Engineering (OE) program supports fundamental research on advanced analytical methods for improving operations in complex decision-driven environments. Analytical methods include, but are not limited to, deterministic and stochastic modeling, optimization, decision and risk analysis, data science, and simulation. Methodological research is highly encouraged but must be motivated by problems that have potential for high impact in engineering applications. Application domains of particular interest to the program arise in commercial enterprises (e.g., production/manufacturing systems and distribution of goods, delivery of services), the public sector/government (e.g., public safety and security), and public/private partnerships (e.g., health care, environment and energy). The program also welcomes operations research in new and emerging domains and addressing systemic societal or technological problems. The OE program particularly values cross-disciplinary proposals that leverage application-specific expertise with strong quantitative analysis in a decision-making context. Proposals for methodological research that are not strongly motivated by high-potential engineering applications are not appropriate for this program.
_x000D_
PIs are encouraged to send any program inquiries to both Program Directors.</t>
  </si>
  <si>
    <t>Mechanics of Materials and Structures</t>
  </si>
  <si>
    <t>The Mechanics of Materials and Structures program supports fundamental research in mechanics as related to the behavior of deformable solid materials and structures under internal and external actions. The program supports a diverse spectrum of research with emphasis on transformative advances in experimental, theoretical, and computational methods. Submitted proposals should clearly emphasize the contributions to the field of mechanics.
_x000D_
Proposals related to material response are welcome, including, but not limited to, advances in fundamental understanding of deformation, fracture, and fatigue as well as contact and friction. Proposals that relate to structural response are also welcome, including, but not limited to, advances in the understanding of nonlinear deformation, instability and collapse, and wave propagation. Proposals addressing mechanics at the intersection of materials and structures, such as, but not limited to, meta-materials, hierarchical, micro-architectured and low-dimensional materials are also encouraged.
_x000D_
Proposals that explore and build upon advanced computing techniques and tools to enable major advances in mechanics are particularly welcome. For example, proposals incorporating reduced-order modeling, data-driven techniques, and/or stochastic methods with a strong emphasis on validation are encouraged. Also welcome are proposals addressing data analytics for deformation or damage response deduction from large experimental and computational data sets. Similarly, proposals that explore new experimental techniques to capture deformation and failure information for extreme ranges of loading or material behavior are also encouraged. Finally, experimental and computational methods that address information across multiple length and time scales, potentially involving multiphysics considerations are also welcome.
_x000D_
Proposals with a focus on buildings and civil infrastructure system are welcome in CMMI and should be submitted to the program on Structural and Architectural Engineering Materials (SAEM). Proposals addressing processing and mechanical performance enhancements should be submitted to the Materials Engineering and Processing (MEP) program. Investigators with proposals focused on design methodological approaches and theory enabling the accelerated development and insertion of materials should consider the Design of Engineering Material Systems (DEMS) program. Lastly, investigators with interest in developing a combined theoretical and experimental approach to accelerate materials discovery and development should direct their proposals to the Designing Materials to Revolutionize and Engineer Our Future (DMREF) opportunity.
_x000D_
Proposers are actively encouraged to email a one-page project summary to MOMS@nsf.gov before full proposal submission to determine if the research topic falls within the scope of the MOMS program.</t>
  </si>
  <si>
    <t>Civil Infrastructure Systems</t>
  </si>
  <si>
    <t>The Civil Infrastructure Systems (CIS) program supports fundamental and innovative research in the design, operation and management of civil infrastructure that contributes to creating smart, sustainable and resilient communities at local, national and international scales. This program focuses on civil infrastructure as a system in which interactions between spatially- and functionally- distributed components and intersystem connections exist. All critical civil infrastructure systems are of interest, including transportation, power, water, pipelines and others.
_x000D_
The CIS program encourages potentially disruptive ideas that will open new frontiers and significantly broaden and transform relevant research communities. The program particularly welcomes research that addresses novel system and service design, system integration, big data analytics, and socio-technological-infrastructure connections. The program values diverse theoretical, scientific, mathematical, or computational contributions from a broad set of disciplines.
_x000D_
While component-level, subject-matter knowledge may be crucial in many research efforts, the program does not support research with a primary contribution pertaining to individual infrastructure components such as materials, sensor technology, extreme event analysis, human factors, climate modeling, structural, geotechnical, hydrologic or environmental engineering.</t>
  </si>
  <si>
    <t>Humans, Disasters, and the Built Environment</t>
  </si>
  <si>
    <t>The Humans, Disasters, and the Built Environment (HDBE) program supports fundamental, convergent research on how human activities and behaviors interact with the built environment to reduce or exacerbate the effects of natural hazards and disasters. The program foci are ongoing and emerging hazards to populations (individuals, households, businesses, organizations, and agencies) and built environments (critical infrastructures, physical and cyber spaces, and buildings). Successful proposals shall address all three elements (i.e., humans, disasters, and the built environment) and have the potential to contribute to theories or insights that hold over a broad range of scales, conditions, and sectors. Research funded through this program is expected to build a deeper understanding of human behaviors at the interface of engineering and society and inform how communities manage their risk and adapt to changing patterns in climate, extreme weather, and other hazards.
_x000D_
Given the richness of the phenomena under study, the HDBE program seeks research that advances foundational theories, methods, and data within and across diverse disciplines such as engineering, social sciences, natural sciences, computing, or other relevant fields. Interdisciplinary proposals are common.
_x000D_
Proposals aimed to make methodological contributions to advance disaster-relevant research are also of interest to the program. Examples include methods and tools for the translation of engineering solutions (mitigation and adaptation) for the built environment to community or national scale investments, practices, and policies; techniques to examine the interactions of humans and the built environment resulting from simultaneous or compounding risk of natural disasters and pandemics; and protocols, methodologies, and tools tailored for handling sensitive, protected, and proprietary data relevant to disasters.
_x000D_
Investigators are encouraged to take advantage of NSF s investments in the Natural Hazards Engineering Research Infrastructure (NHERI) on experimental testing, computational modeling and simulation, interdisciplinary training and networks, and data sharing, integration, and analysis. Research that addresses multiple dimensions of social equity, vulnerability, and environmental justice is particularly encouraged.
_x000D_
Proposers are actively encouraged to email a one-page project summary to the HDBE Program Officer before submitting a full proposal for guidance on whether the proposed research topic falls within the scope of the HDBE program and/or co-review might be appropriate.</t>
  </si>
  <si>
    <t>Engineering Design and Systems Engineering</t>
  </si>
  <si>
    <t>The Engineering Design and Systems Engineering (EDSE) program supports fundamental research that advances design science and/or systems science through the creation of new knowledge about the design of engineered artifacts. Engineered artifacts include, but are not limited to, devices, products, processes, platforms, materials, organizations, systems, and systems of systems. The program focuses on design as a system, in which designers, the artifacts they create, the methods they use to create them, and the environment in which this occurs are all subject to rigorous scientific inquiry, along with the interactions among these elements.
_x000D_
The EDSE program strongly encourages proposals that embrace the multidisciplinary nature of design and supports well-defined collaborations of experts in design science and/or systems science with experts in other domains, including (but not limited to) the social, behavioral, computational, and natural (biological and physical) sciences. Competitive proposals will be firmly grounded in theory, will demonstrate the potential of the proposed work to improve design, and will include a plan to rigorously assess the performance and effectiveness of the proposed research methods across all domains involved.
_x000D_
In particular, the EDSE program supports fundamental contributions in areas that include but are not limited to design representation; design optimization; design validation; mechanism design; robotics and intelligent system design; design of engineered materials systems; design cognition; design collaboration; data science and artificial intelligence in design; design in under-resourced communities; immersive design; and design at extreme scales and in extreme environments. 
_x000D_
Prospective investigators are encouraged to discuss their research ideas with the Program Director in advance of proposal preparation and submission.</t>
  </si>
  <si>
    <t>Engineering for Civil Infrastructure</t>
  </si>
  <si>
    <t>The Engineering for Civil Infrastructure (ECI) program supports fundamental research in geotechnical, structural, materials, architectural, and coastal engineering. The ECI program promotes research that can shape the future of the nation s physical civil infrastructure and that can contribute to climate change adaptation and mitigation, and hazards and disaster resilience. Types of civil infrastructure that the ECI program considers include, but are not limited to, buildings, residential construction, earth and earth retaining structures, and components of flood protection systems; water, waste disposal, and wastewater systems; energy infrastructure (excluding nuclear); and transportation systems (excluding pavements). Both disciplinary and convergent research that can address the challenges of physical civil infrastructure to be resilient and sustainable over its service lifetime are of particular interest. Broader impacts of ECI research include fostering community welfare for an equitable and prosperous nation and promoting environmentally friendly, circular economy policies.
_x000D_
The ECI program supports research that advances knowledge on the behavior of physical civil infrastructure subjected to and interacting with the natural environment during construction; under service and long-term conditions, including increased demands due to climate change adaptation and other emerging stressors; and under conditions caused by single or multiple extreme hazard events (extreme weather, windstorms, earthquakes, tsunamis, storm surges, landslides, and fire, including wildland-urban interface fire). The ECI program also supports research on geomaterials and infrastructure materials utilized in load-bearing systems as well as in non-structural systems. Of particular interest is experimental and analytical/computational research to advance the fundamental understanding of coupled multi-physics, multi-scale (spatial and temporal), multi-functional behavior of these materials and their intended use in civil infrastructure.
_x000D_
The ECI program supports research on civil infrastructure that contributes to the National Science Foundation s role in the National Earthquake Hazards Reduction Program (NEHRP) and the National Windstorm Impact Reduction Program (NWIRP). Principal Investigators are encouraged to leverage NSF s investments in the Natural Hazards Engineering Research Infrastructure (NHERI) experimental, computational modeling and simulation, and data resources (https://www.designsafe-ci.org/) in their research to accelerate advances needed for reducing the impacts of natural hazards on civil infrastructure. The NHERI Science Plan (https://www.designsafe-ci.org/facilities/nco/science-plan/) offers a range of research topics that could benefit from the use of NHERI resources and are relevant to the ECI program.
_x000D_
The ECI program does not support research that addresses natural resource exploration or recovery, investigates blasts and explosions, develops sensor and measurement technologies, or focuses on hazard characterization. The ECI program only supports fundamental research topics for civil infrastructure with a strong grounding in theory. Topics which fall within the mission for research and/or development of other federal and state agencies are appropriate for the ECI program only when addressing fundamental scientific questions. Research on natural hazard characterization is supported through programs in the NSF Directorate for Geosciences.
_x000D_
Proposers are actively encouraged to email a one-page project summary to the ECI Program Officers before submitting a full proposal for guidance on whether the proposed research topic falls within the scope of the ECI program; this guidance especially should be requested for multi-disciplinary research proposals, proposals for which research and/or development on the subject civil infrastructure(s) are also supported by other federal and state agencies, and proposals that consider civil infrastructure not listed above.</t>
  </si>
  <si>
    <t>Biomechanics and Mechanobiology</t>
  </si>
  <si>
    <t>The Biomechanics and Mechanobiology (BMMB) program is part of the Mechanics of Materials cluster within the Division of Civil, Mechanical, and Manufacturing Innovation.
_x000D_
The BMMB program supports fundamental and transformative research that advances our understanding of engineering biomechanics and/or mechanobiology. The program emphasizes the study of biological mechanics across multiple domains, from sub-cellular to whole organism. Distinct from conventional engineering materials, the program encourages the consideration of diverse living tissues as smart materials that are self-designing.
_x000D_
BMMB projects must have a clear biological component, a clear mechanics component, and must improve our understanding of the mechanical behavior of a living system. Investigations of the mechanical behavior of biological molecules, cells, tissues, and living systems are welcome. An important concern is the influence of in vivo mechanical forces on cell and matrix biology in the histomorphogenesis, maintenance, regeneration, repair, and aging of tissues and organs. The program is also interested in efforts to translate recent biomechanical and mechanobiological discoveries into engineering science.
_x000D_
Multiscale mechanics approaches are encouraged but not required. Projects may include theoretical, computational, or experimental approaches, or a combination thereof. NSF does not support clinical trials; however, feasibility studies involving human volunteers or animal subjects may be supported if appropriate to the scientific objectives of the project.
_x000D_
Proposals should address the novelty and/or potentially transformative nature of the proposed work compared to previous work in the field. Also, it is essential to address why the proposed work is important in terms of engineering science, and to state the potential impact of success in the research on society and/or industry.
_x000D_
Innovative proposals outside of these specific areas of biomechanics and mechanobiology will be considered. However, prior to submission of particularly unique topics, it is strongly recommended that Principal Investigators (PIs) contact the program director to discuss how the proposed work fits within the scope of the program and avoid the possibility of the proposal being returned without review.
_x000D_
Related programs also fund certain aspects of biomechanics and mechanobiology research, and PIs are encouraged to examine these to find the appropriate program for submission. Proposals with a heavy emphasis on tissue engineering or developing validated models of tissue and organ systems should consider the Engineering of Biomedical Systems (EBMS) program.Projects addressing biological questions about the physiological mechanisms and structural features of organisms should consult the Physiological Mechanisms   Biomechanics (PMB) program.Projects elucidating aspects of neural control may consider the Perception, Action,   Cognition (PAC) program or the Mind, Machine, and Motor Nexus (M3X) program if the project contains work relevant to human-machine interaction. Projects in rehabilitation engineering should consider the Disability and Rehabilitation Engineering (DARE) program. Projects focused on fundamental research related to design, characterization, and modification of biomaterials should consider the Biomaterials (BMAT) program. Manufacturing systems proposals should consider the Advanced Manufacturing (AM) program. Work on the interplay between structure, dynamics, and function of biomolecules without advancing our understanding of the mechanics of a living system should consider the Molecular Biophysics program. Researchers who believe their work may span multiple programs are particularly encouraged to contact the cognizant program directors well in advance of submission.
_x000D_
The duration of unsolicited proposal awards is generally up to three years; proposals for a shorter duration are welcome. Single-investigator award budgets typically include support for one graduate student (or equivalent trainee) and up to one month of PI time per year (awards for multiple investigator projects are typically larger). Proposal budgets or durations that are much larger than typical should be discussed with the program director prior to submission. Proposers can view budget amounts and other information from recent awards made by this program via the  What Has Been Funded (Recent Awards Made Through This Program, with Abstracts)  link towards the bottom of this page.</t>
  </si>
  <si>
    <t>The USAID Global Health Broad Agency Announcement for Research and Development (2018)</t>
  </si>
  <si>
    <t xml:space="preserve">This Broad Agency Announcement (BAA) seeks opportunities to co-create, co-design, co-invest, and collaborate in the research, development, piloting, testing, and scaling of innovative, practical and cost-effective interventions to address the most pressing problems in global health. The United States Agency for International Development (USAID) invites organizations and companies to participate with USAID, in cooperation with its partners, to generate novel tools and approaches that accelerate and sustain improved health outcomes in developing countries. 
PROBLEM: The global community has made great strides in reducing mortality around the world over the last 50 years, but progress in developing countries lags far behind that seen in developed countries. Every year an estimated 303,000 women die during pregnancy and childbirth, 5.9 million children die, and an even greater number become infected with life-threatening diseases like HIV/AIDS, malaria, diarrhea, pneumonia, and TB, among others. The vast majority of deaths due to these largely preventable causes occur in developing countries where access to health services is often poor. Outbreaks of emerging infectious diseases like Ebola and Zika only serve to further compound these health challenges, taxing already stressed health systems and elevating the risk of disease epidemics of global proportions. 
CHALLENGE: Harness the power of science, technology, and innovation to generate new knowledge, tools, and approaches that can reduce developing country mortality down to the levels of more developed countries within a generation. USAID and partners will work to rapidly implement solutions and create an environment for sustainability, scalability, and ultimately health impact. 
 A Broad Agency Announcement is a 2 step process:  
Step 1: The issuance of the BAA: A BAA document provides general information about an area of interest that USAID would like to explore. This particular BAA document discusses areas of interest specific to Research and Development for Global Health. Interested parties can not submit â€œExpressions of Interest (EOI)â€ to this BAA document, as this announcement is not a funding opportunity. See below (Step 2) for additional information about funding opportunities related to this BAA.  
Step 2: The issuance of an Addendum: Once a particular area of interest has been identified by USAID, an Addendum is created and provides the following: (1) specific information regarding criteria, (2) eligibility and application requirements, (3) applicable deadlines, and (4) an Addendum-specific Point of Contact (POC). Monitor the following sites for Addenda to this BAA: Grants.gov and FedBizOpps. 
</t>
  </si>
  <si>
    <t>RISE II HEALTH SERVICES DELIVERY ACTIVITY</t>
  </si>
  <si>
    <t>Others (see text field entitled "Additional Information on Eligibility" for clarification) This is an RFI.</t>
  </si>
  <si>
    <t>This is a Request for Information (RFI) Notice requesting comments to the draft Program Description (PD) below for the USAID/Senegal, Sahel Regional Officeâ€™s (SRO) RISE II Health Services Delivery (HSD) Activity. The purpose of this RFI is to obtain feedback from stakeholders prior to SRO potentially issuing a Notice of Funding Opportunity (NOFO) Announcement. This RFI is not a Request for Application (RFA). Therefore, USAID/Senegal is not accepting applications at this time.  
Please provide no more than 4 pages of comments no later than June 15, 2018 through email to sahelregional@usaid.gov. 
Responses/comments received from this RFI may be used for planning purposes. Responding to this RFI will not give any advantage to any potential applicant in any subsequent procurement and will not lead to an organizational conflict of interest. You may receive an electronic confirmation acknowledging receipt of your response. 
USAID will hold a Pre-Solicitation Conference on June 04, 2018 at the U.S. Embassy in Dakar from 12:30 to 15:00 local time (GMT). For convenience, another alternate site for participation through VTC may be provided in the Washington, D.C. area.</t>
  </si>
  <si>
    <t>NSF/FDA Scholar-In-Residence at FDA</t>
  </si>
  <si>
    <t xml:space="preserve">The National Science Foundation (NSF), through the Directoratefor Engineering, the Directorate of Computer and Information Science and Engineering Division of Computer and Network Systems, and the Directorate for Mathematical and Physical Sciences Division of Materials Research, along with the U.S. Food and Drug Administration (FDA), through its Center for Devices and Radiological Health (CDRH), have established the NSF/FDA Scholar-in-Residence Program at FDA. This program comprises an interagency partnership for the investigation of scientific and engineering issues concerning emerging trends in medical device technology. This partnership is designed to enable investigators in science, engineering, and computer science to develop research collaborations within the intramural research environment at the FDA. Thissolicitation features three flexible mechanisms for support of research at the FDA: 1) Principal Investigators at FDA; 2) Postdoctoral Researchers at FDA; and 3) Graduate Students at FDA.
_x000D_
 </t>
  </si>
  <si>
    <t xml:space="preserve">Augmenting Capacity for Humanitarian Emergencies of Infectious Diseases </t>
  </si>
  <si>
    <t>The overall scope, goal  of the program(s) to be funded under the award(s) resulting from this APS includes: establishing standby capacity by strengthening and augmenting preparedness and readiness of and between potential responders from national and/or international NGOs organizations, PIOs, academic and private institutions, improving technical capacity and coordination for an integrated, effective multi-sectoral response to an infectious disease outbreak that becomes humanitarian emergency.  Applicants should build internal mechanisms to improve their institutional capacity to rapidly deploy in response to an infectious disease outbreak that becomes a humanitarian emergency, support organizational capacity to augment or pivot response efforts to keep up with changing needs, and/or to provide support to coordination L3 responses that includes actors from multiple agencies or sectors (i.e. Health, Nutrition, WASH, Agriculture and Food Security, Protection).  USAID/OFDA recognizes other ongoing capacity building initiatives supported by other donors that are focused on governments; this APS is specifically focused on building non-governmental capacity in the humanitarian aid community.</t>
  </si>
  <si>
    <t>EDA Chicago FY 2016 FY 2019 Planning Program and Local Technical Assistance Program</t>
  </si>
  <si>
    <t>Nonprofits that do not have a 501(c)(3) status with the IRS, other than institutions of higher education Pursuant to section 3 of the Public Works and Economic Development Act of 1965 (42 U.S.C.   3122) (PWEDA) and EDA s regulation at 13 C.F.R.   300.3, the following types of entities are eligible to receive funding assistance from EDA: 1. District Organizations (as defined in 13 C.F.R.   300.3); 2. Indian Tribes or a consortium of Indian Tribes; 3. States, cities, or other political subdivisions of a State, including a special purpose unit of a State or local government engaged in economic or infrastructure development activities, or a consortium of political subdivisions; 4. Institutions of higher education or a consortium of institutions of higher education; or 5. Public or private non-profit organizations or associations acting in cooperation with officials of a political subdivision of a State.</t>
  </si>
  <si>
    <t>Pursuant to PWEDA, EDA announces general policies and application procedures for grant-based investments under the Planning and Local Technical Assistance programs. Under the Planning program EDA assists eligible recipients in creating regional economic development plans designed to build capacity and guide the economic prosperity and resiliency of an area or region. As part of this program, EDA supports Partnership Planning investments to facilitate the development, implementation, revision, or replacement of Comprehensive Economic Development Strategies (CEDS), which articulate and prioritize the strategic economic goals of recipientsâ€™ respective regions. In general, EDA provides Partnership Planning grants to the designated planning organization (e.g., District Organization) serving EDA designated Economic Development Districts to enable these organizations to develop and implement relevant CEDS. In addition, EDA provides Partnership Planning grants to Indian Tribes to help develop and implement CEDS and associated economic development activities. The Planning program also helps support organizations, including District Organizations, Indian Tribes, and other eligible recipients, with Short Term and State Planning investments designed to guide the eventual creation and retention of high-quality jobs, particularly for the unemployed and underemployed in the Nationâ€™s most economically distressed regions. The Local Technical Assistance program strengthens the capacity of local or State organizations, institutions of higher education, and other eligible recipients to undertake and promote effective economic development programs through projects such as feasibility analyses and impact studies.</t>
  </si>
  <si>
    <t>EDA Philadelphia FY 2016 FY 2019 Planning Program and Local Technical Assistance Program</t>
  </si>
  <si>
    <t>EDA Seattle FY 2016 FY 2019 Planning Program and Local Technical Assistance Program</t>
  </si>
  <si>
    <t>EDA Austin FY 2016 FY 2019 Planning Program and Local Technical Assistance Program</t>
  </si>
  <si>
    <t>EDA Atlanta FY 2016 FY 2019 Planning Program and Local Technical Assistance Program</t>
  </si>
  <si>
    <t>Tunisia Resilience and Community Empowerment (TRACE)</t>
  </si>
  <si>
    <t>USAID/Tunisia intends to issue a notice of funding opportunity to solicit applications to implement the activity entitled â€œTunisia Resilience and Community Empowermentâ€ (TRACE).  The anticipated award will be  a five-year cooperative agreement.  Subject to the availability of funds, USAID may  provide up to $49.7 million in total USAID funding to be allocated over five years.</t>
  </si>
  <si>
    <t xml:space="preserve">EONS 2018: Appendix E Minority University Research and Education Project (MUREP) for Sustainability and Innovation Collaborative   (MUSIC) </t>
  </si>
  <si>
    <t>Unrestricted (i.e., open to any type of entity above), subject to any clarification in text field entitled "Additional Information on Eligibility" Minority Serving Institutions (MSIs), Non-profit Organizations with missions to support MSIs</t>
  </si>
  <si>
    <t xml:space="preserve">Awards will be made as cooperative agreements to accredited Minority Serving Institutions (MSIs) partnered with non-profit organizations in the United States that are eligible to apply for this NASA Research Announcement (NRA). The period of performance for an award is up to 2 years. Prospective proposers are requested to submit any questions in writing to NASAMUSIC@nasaprs.com no later than 10 business days before the proposal due date so that NASA will have sufficient time to respond. Proposers to this NRA are required to have the following, no later than the due date: 1) a Data Universal Numbering System (DUNS) number, _x000D_
2) a valid registration with the System for Award Management (SAM) [formerly known as the Central Contractor Registry (CCR)], 3) a valid Commercial And Government Entity (CAGE) Code, 4) a valid registration with NASA Solicitation and Proposal Integrated Review and Evaluation System (NSPIRES) (this also applies to any entities proposed for sub-awards or subcontracts.) Consult Appendix H Section H.3.1 for more eligibility information. _x000D_
Consult Appendix H Section 2.2 regarding teaming requirements and partnership guidelines._x000D_
The goal of NASA MUSIC is: to provide strategic effort that will leverage research and contract relationships of MSIs and NASA through relationships developed by non-profit organizations that may include collaboration of subject matter experts and access to NASA research facilities; An effort to improve STEM education and research at MSIs; A funded activity that seeks to build institutional capacity of MSIs; An activity to support long-term sustainability of STEM research at MSIs. MUSIC seeks to address the agency goals and objectives through:  Increasing the institutional awareness of NASA competitive resources that can build the capacity of MSIs to offer and conduct STEM undergraduate and graduate research with a focus on NASA opportunities. Assembling MSIs and their stakeholders with common interests, and challenges then provide common tools for MSIs to increase efficiency and optimize resources including opportunities to develop formal and informal partnerships. Connecting MSI administrators and university STEM leaders to cutting-edge initiatives at NASA that can increase interest in securing research and contracting opportunities while supporting NASAâ€™s policy to achieve an Agency-wide goal of providing one percent of total contract value of prime and subcontracting awards to MSIs.     https://www.hq.nasa.gov/office/procurement/regs/1826.htm_x000D_
To achieve these goals, MUSIC seeks to increase university program capacity about practical uses of research to drive institution sustainability through the following targets:  Advance the understanding of MSIs on how to effectively develop institutional administrative support by competing at the university level for funding opportunities, which will result in successful application to, and management of these funding opportunities (including those at NASA).  Extend MSIâ€™s capabilities by: A.   Leveraging the MSIs research capabilities with NASA research to develop Small Business Innovation Research (SBIR) and Small Business Technology Transfer (STTR) projects that develop and demonstrate innovative technologies that fulfill NASA needs and have significant potential for successful commercialization. B.  Increasing the preparation of undergraduate and graduate science, technology, engineering, and mathematics faculty with opportunities to participate with NASA researchers and missions through grants and contracts. To achieve these goals and objectives, NASA solicits proposals from MSIs to implement the NASA MUSIC; to engage MSIs in authentic STEM experiences related to NASA missions; and to inspire and captivate learners utilizing NASAâ€™s unique assets to develop a keen interest in STEM. Every institution that intends to submit a proposal to this NRA, including the proposed prime award or any partner whether an education institution, other non-profit institutions, and other organizations that will serve as sub-awardees or contractors, must be registered in NSPIRES. Electronic submission of proposals is required by the due date and must be submitted by an authorized official of the proposing organization. Such registration must identify the authorized organizational representative(s) who will submit the electronic proposal. All principal investigators and other participants (e.g. co-investigators) must be registered in NSPIRES regardless of submission system. Potential proposers and proposing organizations are urged to access the system(s) well in advance of the proposal due date(s) of interest to familiarize themselves with its structure and enter the requested information. Electronic proposals may be submitted via the NASA proposal data system NSPIRES or via Grants.gov. Organizations that intend to submit proposals via Grants.gov must be registered 1) with Grants.gov and 2) with NSPIRES.  Additional programmatic information for this NRA may develop before the proposal due date. If so, such information will be added as a Frequently Asked Question (FAQ) or formal amendment to this NRA and posted on http://nspires.nasaprs.com. It is the proposerâ€™s responsibility to regularly check NSPIRES for updates to this NRA. _x000D_
</t>
  </si>
  <si>
    <t>Gaza Household WASH Activity (GHW)</t>
  </si>
  <si>
    <t>USAID-WES</t>
  </si>
  <si>
    <t>West Bank, Gaza USAID-West Bank</t>
  </si>
  <si>
    <t xml:space="preserve">Others (see text field entitled "Additional Information on Eligibility" for clarification) Qualified U.S. and non-U.S. Non-Governmental Organizations (NGOs), U.S. Private Voluntary Organizations (PVOs), and U.S. and non-U.S. for profit firms may participate in this funding opportunity. </t>
  </si>
  <si>
    <t xml:space="preserve">USAIDâ€™s West Bank and Gaza Mission (USAID/WBG) is issuing this Funding Opportunity to solicit applications for  Gaza Household WASH (GHW), a three-year Activity. The goal of Gaza Household WASH Activity (GHW) is to improve human health, environmental health, and livelihoods in vulnerable communities by increasing access to facilities and services for safe domestic water and improved sanitation.  _x000D_
_x000D_
The activity intends to address the following priorities in Gaza that align with the Coastal Municipalities Water Utility (CMWU) and OCHAâ€™s Humanitarian Rapid Response Plan (2018-2020): _x000D_
_x000D_
1. The provision of durable solutions to vulnerable communities, such as the establishment, extension or rehabilitation of water distribution networks and sanitation systems at the household and neighborhood levels._x000D_
2. Increase emergency WASH preparedness interventions to mitigate and reduce rainwater and sewage flooding risks in vulnerable communities._x000D_
_x000D_
The geographic focus of  all interventions will be in Gaza, and to the extent possible, in the Access Restricted Areas (ARAs), flood-prone areas, and areas exposed to environmental health risks in Gaza. </t>
  </si>
  <si>
    <t>Resilience in the Sahel Enhanced (RISE) II Technical Approach Working Paper</t>
  </si>
  <si>
    <t>Others (see text field entitled "Additional Information on Eligibility" for clarification) N/A - Request for Information</t>
  </si>
  <si>
    <t>This working paper is meant to provide information on the strategic and technical approach USAID intends to use for RISE II.  USAID retains the right to change its strategic or technical approach at any time without notification.  This paper is a reference document that contains useful information for applicants seeking funding under RISE II, as well as for others who wish to partner with USAID, or better understand USAIDâ€™s approach.  It is not a solicitation document.  Organizations interested in obtaining funding from USAID are advised to monitor Grants.gov: https://www.grants.gov/ and FedBizOpps.gov: https://www.fbo.gov/ for funding opportunities.  This is a draft document.  Updated versions may be posted on the USAID/SRO website or released in conjunction with future solicitations.  Any new version will be dated with its release date.  Comments or questions on this document should be directed to asadiq@usaid.gov and pasmith@usaid.gov with the header â€œResponse to RISE II Technical Approach.â€ USAID makes no guarantee to respond to questions or comments, but may use them to inform future revisions. This is an RFI notice issued in accordance with FAR 15.201(e), and is not intended to procure goods or services.  Responses to this notice are not offers and cannot be accepted by the Government to form a binding contract.  Responses/comments received from this RFI may be used for planning purposes.  Responding to this RFI will not give any advantage to any firm or organization in any subsequent procurement and will not lead to an organizational conflict of interest.  You will receive an electronic confirmation acknowledging receipt of your response. In accordance with Federal Acquisition Regulation 15.209(c), the following clause is incorporated into this RFI: â€œFAR 52.215-3 REQUEST FOR INFORMATION OR SOLICITATION FOR PLANNING PURPOSES (OCT 1997) (a) The Government does not intend to award a contract on the basis of this solicitation or to otherwise pay for the information solicited except as an allowable cost under other contracts as provided in subsection 31.205-18, Bid and proposal costs, of the Federal Acquisition Regulation.  (b) Although â€œproposalâ€ and â€œofferorâ€ are used in this Request for Information, your response will be treated as information only.  It shall not be used as a proposal.  (c) This solicitation is issued for the purpose of gathering comments on the draft RISE II technical approach.â€</t>
  </si>
  <si>
    <t>Responding to Pakistan s Internally Displaced (RAPID) III</t>
  </si>
  <si>
    <t>The United States Agency for International Development (USAID) is seeking applications for a cooperative agreement from qualified U.S. and Non-U.S. organizations to fund a program entitled Responding to Pakistanâ€™s Internally Displaced III (RAPID III). Eligibility for this award is restricted to Section C of this Notice of Funding Opportunity (NFO) for eligibility requirements.Subject to the availability of funds an award will be made to that responsible applicant(s) whose application(s) best meets the objectives of this funding opportunity and the selection criteria contained herein. While one award is anticipated as a result of this NFO, USAID reserves the right to fund one or more or none of the applications submitted.</t>
  </si>
  <si>
    <t>APS-OAA-16-000001 Addendum COLOMBIA</t>
  </si>
  <si>
    <t>USAID-COL</t>
  </si>
  <si>
    <t>Colombia USAID-Bogota</t>
  </si>
  <si>
    <t xml:space="preserve">Others (see text field entitled "Additional Information on Eligibility" for clarification) Eligible organizations interested in submitting a Concept Paper are required to carefully read this APS addendum as well as the full GDA APS announcement, which can be found at: https://www.usaid.gov/gda/global-development-alliance-annual-program. Reading those materials is essential to understanding the type of GDA alliance sought, concept paper submission requirements and the review and evaluation process.  Eligibility is discussed in Section VIII of the GDA APS and Section II of this addendum. </t>
  </si>
  <si>
    <t xml:space="preserve">The United States Agency for International Development (USAID) Mission in Colombia is making a special call for the submission of Concept Papers focused on leveraging private sector investment and expertise that results in enhance sustainable and inclusive development in Colombiaâ€™s conflict-affected areas._x000D_
_x000D_
Subject to the availability of funds, USAID/Colombia may allocate up to $10,000,000 to fund a portfolio of GDA alliances with the private sector, with funding for individual applications estimated in the range of $1,500,000 to $5,000,000 to be implemented over a period of 3-5 years through 2 to 3 awards, depending on the approach of each individual application. _x000D_
</t>
  </si>
  <si>
    <t>Infectious Disease (with Epidemic or Pandemic potential) Standby Capacity for Humanitarian Emergency APS</t>
  </si>
  <si>
    <t xml:space="preserve">The purpose of this notice is to announce an upcoming Annual Program Statement (APS) for the Infectious Disease (with Epidemic or Pandemic potential) (IDAP Standby Capacity with the scale of a Humanitarian Emergency. This only applies to Infectious Disease events that require activation of a Level 3 IASC. This new Standby Capacity project will address critical multi-sectoral capacity gaps of response actors needed to maintain technical and operational readiness. This may include activities such as (but not limited to) contingency planning, the development of adaptation of toolkits, training or technical guidance, rapid response teams and coordination, to ensure rapid response to infectious diseases outbreaks with epidemics or pandemic potential that reach the scale of a humanitarian emergency (Level 3 IASC activation for an infectious disease event) and that have been declared a Public Health Emergency (PHEIC) of International Concern (or are the equivalent of a PHEIC).  _x000D_
_x000D_
Questions concerning this notice may be directed to the Agreement Officer, at SOLOFDA1788@ofda.gov. USAID may issue a â€œRequest for Informationâ€ before the APS is released. However, please be advised that substantive questions with respect to the APS will not be answered until the APS is released, at which point all applicants will be allowed to submit questions that will be answered in a â€œQ&amp;Aâ€ document, which will be posted to the APS as an amendment. Prospective applicants may not contact USAID technical staff directly for information on this APS â€“ such contact may be grounds for exclusion from the competition. This notice in no way obligates USAID to release a solicitation or award. Issuance of an APS will be subject to internal USAID approvals and the availability of funds. Due to the competitive nature of the procurement, unsolicited applications will not be considered. All applications have to be submitted in response to the APS. </t>
  </si>
  <si>
    <t>Marine Geology and Geophysics</t>
  </si>
  <si>
    <t>The Marine Geology and Geophysics Core Program supports research on all aspects of the geology and geophysics of the present ocean basins and margins, as well as those of the Great Lakes.
_x000D_
The Program supports science that includes:
_x000D_
_x000D_
Structure, composition, tectonics, and evolution of the oceanic lithosphere_x000D_
Paleoceanography, paleoclimate, and sea level change_x000D_
Submarine volcanology, petrology and geochemistry of the oceanic crust and upper mantle_x000D_
Marine hydrogeology, seeps and gas hydrates, water-rock interaction, and hydrothermal vent and fluid formation and geochemistry_x000D_
Geochemical indicators of life operating below the seafloor_x000D_
Marine sedimentology and coastal processes, stratigraphy, sediment transport, and diagenesis_x000D_
Mid-ocean ridge spreading, back-arc rifting, transform processes, and ocean island/seamount formation and evolution_x000D_
Submarine components of subduction zone systems and passive margins_x000D_
Marine geohazards (e.g., earthquakes, faulting, mass wasting, geological aspects of tsunamis)_x000D_
_x000D_
The Marine Geology and Geophysics Program is interested in supporting new ideas and cutting-edge research. It supports field, analytical, and laboratory experimental projects; methods development; modeling; and the re-analysis and/or synthesis of existing data. The Program interfaces with NSF programs across the Geosciences and across the Agency. For proposals that cross between Programs, proposers should contact the relevant Programs to seek guidance on submission.</t>
  </si>
  <si>
    <t>Partnering for Impact in Guinea</t>
  </si>
  <si>
    <t>Others (see text field entitled "Additional Information on Eligibility" for clarification) Qualified Local Non-U.S. Non-Governmental Organizations (NGOs), Non U.S. Local Private Voluntary Organizations (PVOs).</t>
  </si>
  <si>
    <t xml:space="preserve">This Annual Program Statement (APS) is designed to describe and provide a process through which organizations can work with USAID/Guinea and the private sector and/or Non U.S. Non-Governmental Organization to build an Alliance that: a)  address important business or community interests and objectives, b)  advance USAIDâ€™s strategic priorities and objectives; andc)  achieve sustainable development outcomes, results and impact.  This Annual Program Statement also provides an opportunity for organizations to receive an award of USAID funding to support activity implementation developed through this Annual Program Statement. </t>
  </si>
  <si>
    <t>Alaska Sea Grant State Fellowship Program</t>
  </si>
  <si>
    <t>Others (see text field entitled "Additional Information on Eligibility" for clarification) Non-Competitive Cooperative Agreement</t>
  </si>
  <si>
    <t>Non-Competitive Cooperative Agreement</t>
  </si>
  <si>
    <t>Sri Lanka Civil Society Program</t>
  </si>
  <si>
    <t>USAID-SRI</t>
  </si>
  <si>
    <t>Sri Lanka USAID-Colombo</t>
  </si>
  <si>
    <t>Others (see text field entitled "Additional Information on Eligibility" for clarification) Qualified U.S. and non-U.S. Non-Governmental Organizations (NGOs), U.S. Private Voluntary Organizations (PVOs), and U.S. and non-U.S. for profit firms (provided they forgo profit) may participate in this funding opportunity.</t>
  </si>
  <si>
    <t>USAID requests that civil society sector professionals and institutions provide information and recommendations for a more effective project design.The request for information shall address the following:â—	Do the components identified respond to the development needs of Sri Lankaâ€™s civil society sector?â—	In addition to what has already been identified, what other types of assistance are needed to strengthen and support civil society in Sri Lankaâ€™s current social-political context?â—	What high-level results can be achieved through this program? â—	Suggestions to improve proposed goals and objectives. â—	What key issues and policies should civil society focus on to advance transparency, accountability and good governance and why?  What mechanisms should be used to address these issues and policies?  â—	What consortiums would be effective in addressing transparency, accountability, and good governance?â—	What do you envision as opportunities for financial viability and sustainability of CSOs?Please limit your responses to a maximum of three pages.Responses regarding this Request for Information (RFI) are to be submitted in writing to: Mr. Harsha Kaluarachchi, Acquisition and Assistance Specialist at srilankaprocurement@usaid.gov with copies to the attention of Mr. Robert Parnell, Contracting Officer at rparnell@usaid.gov, by March 23, 2016 at 1700 (Colombo time)</t>
  </si>
  <si>
    <t>NRL WIDE BROAD AGENCY ANNOUNCEMENT</t>
  </si>
  <si>
    <t>DOD-ONR-NRL</t>
  </si>
  <si>
    <t>Naval Research Laboratory</t>
  </si>
  <si>
    <t>The Naval Research Laboratory (NRL) is the Navy's corporate laboratory.  NRL conducts basic and applied research for the Navy in a variety of scientific and technical disciplines.  The basic research program is driven by perceptions about future requirements of the Navy.</t>
  </si>
  <si>
    <t>U.S. Mission Australia Annual Program Statement</t>
  </si>
  <si>
    <t>DOS-AUS</t>
  </si>
  <si>
    <t>U.S. Mission to Australia</t>
  </si>
  <si>
    <t>Others (see text field entitled "Additional Information on Eligibility" for clarification) Applications are encouraged from a variety of individuals and organizations, including but not limited to: non-governmental/civil society organizations, think tanks, educational institutions or subsets thereof, and non-profit organizations.  Prior programmatic experience is desired, along with experience managing budgets.</t>
  </si>
  <si>
    <t xml:space="preserve">Proposals should be submitted via email to the Public Affairs Section of the U.S. Embassy: PASGrantsAustralia@state.gov. _x000D_
_x000D_
Post's grant proposal forms can be found at the link below. Please include as many specific details as possible, including a project timeline and a description of how the U.S. Embassy would be involved and acknowledged in conjunction with the project.  Please include a detailed budget, as well as information about cost sharing by other entities._x000D_
</t>
  </si>
  <si>
    <t>Air Force Defense Research Sciences Conference and Workshop Support</t>
  </si>
  <si>
    <t>Nonprofits that do not have a 501(c)(3) status with the IRS, other than institutions of higher education Only some organizations are eligible to submit proposals for conference or workshop support. We can consider conference or workshop funding requests from U.S. institutions of higher education (IHE) or nonprofit organizations as described in 2 CFR 25.345, including foreign public entities and foreign organizations operated primarily for scientific, educational, service, charitable, or similar purposes in the public interest. Conference or workshop funding support is not available to commercial organizations. DoD Instruction 5410.20,  Public Affairs Relations with Business and Nongovernmental Organizations Representing Business  prohibits co-sponsorship of conferences and workshops with commercial concerns.</t>
  </si>
  <si>
    <t>The Air Force Office of Scientific Research manages the basic research investment for the U.S. Air Force. Conferences and workshops constitute key forums for research and technology interchange. We provide partial support for conferences and workshops as defined in the DoD Joint Travel Regulations in special areas of science that bring experts together to discuss recent research or educational findings, or to expose other researchers or advanced graduate students to new research and educational techniques in our areas of research interest. Our research interests are described in the most recent version of our general Broad Agency Announcement titled, â€œResearch Interests of the Air Force Office of Scientific Researchâ€ posted on Grants.gov. We can only consider funding requests from U.S. institutions of higher education (IHE) or nonprofit organizations as described in 2 CFR 25.345, including foreign public entities and foreign organizations operated primarily for scientific, educational, service, charitable, or similar purposes in the public interest. We do not award grants to organizations with a for-profit organization type. Our support for a workshop or conference is not an endorsement of any organization.Our financial support through grants for conferences and workshops is dependent on the availability of funds, Program Officerâ€™s discretion, and certain other restrictions as described in the full announcement.</t>
  </si>
  <si>
    <t>R Package Development and Data Certification for the National Park Service Units of the National Capital Region and the Northeast</t>
  </si>
  <si>
    <t>The objective of this Agreement is to advance historic preservation at the local level by establishing a task agreement between the National Park Service and the National Alliance of Preservation Commissions (NAPC) to provide training opportunities, promote the Federal Certified Local Government program, and strengthen local preservation commissions by providing bi-annual State Certified Local Government Coordinator Training</t>
  </si>
  <si>
    <t xml:space="preserve">Pre-solicitation Notice - Moderate Voices of Peace </t>
  </si>
  <si>
    <t>USAID-WAF</t>
  </si>
  <si>
    <t>West Africa USAID-Ghana</t>
  </si>
  <si>
    <t xml:space="preserve">Others (see text field entitled "Additional Information on Eligibility" for clarification) U.S. or non-U.S. Non-governmental organizations (NGOs), private voluntary organizations (PVOs), for-profit companies willing to forego profit, colleges and universities, and Public International Organizations (PIOs) are eligible to submit applications. Faith-based and community organizations that fit the criteria above are also eligible to apply. _x000D_
_x000D_
U.S. or non-U.S. Non-governmental organizations (NGOs), private voluntary organizations (PVOs), for-profit companies willing to forego profit, colleges and universities, and Public International Organizations are eligible to submit applications. Faith-based and community organizations that fit the criteria above are also eligible to apply. _x000D_
_x000D_
Applicant(s) must have established financial management, monitoring and evaluation, internal control systems, and policies and procedures that comply with established U.S. Government standards, laws, and regulations. All potential awardees will be subject to a responsibility determination (may include a pre-award survey) issued by a warranted Agreement Officer in USAID. _x000D_
</t>
  </si>
  <si>
    <t xml:space="preserve">This is a pre-funding opportunity announcement only. No applications are requested at this time. Please hold all questions/requests for information as they will not be responded to until the full announcement (RFA) is issued. This notice in no way obligates USAID to release a solicitation or award. Issuance of a RFA will be subject to internal USAID approvals and the availability of funds. The request is expected to be available for the public in the next few weeks. Due to the competitive nature of the procurement, unsolicited applications will not be considered. All applications have to be submitted in response to the RFA. _x000D_
_x000D_
USAID/West Africa anticipates awarding a five-year cooperative agreement (CA)  for a messaging and communications project to counter violent extremism and promote democracy, human rights and governance in West Africa. The project will aim to amplify moderate voices of peace and tolerance as part of a broader effort to reduce vulnerability to violent extremism in the Sahel. The project will seek to achieve this goal by: 1) strengthening positive local narratives; 2) increasing dialogue and exchange on CVE and peace concepts; 3) expanding access to information; 4) promoting citizen/government dialogue, and; 5) enhancing regional collaboration among media actors.  Learning from interventions, communities, and events and adapting new approaches based on that learning will be a critical aspect of the 5-year effort.  The approach of the project will blend media-development approaches with strategic communications and behavior change programming, leveraging both new and traditional media to reach populations most at risk to violent extremism in West Africa.  The geographic focus of the project will initially include Burkina Faso, Chad and Niger, with a planned expansion to Cameroon in the fall of 2017.  However, this project will have built-in flexibility to modify its geographic targets, messaging and scope in order to adapt and respond to fluid security situations and continuously changing VEO narratives.  _x000D_
_x000D_
Dun and Bradstreet Universal Numbering System (DUNS) Number and System for Award Management (SAM) _x000D_
_x000D_
Please be advised that each applicant (unless the applicant is an individual or Federal awarding agency that is excepted from those requirements under 2 CFR Â§25.110(b) or (c), or has an exception approved by the Federal awarding agency under 2 CFR Â§25.110(d)) is required to: be registered in SAM before submitting its application; provide a valid DUNS number in its application; and continue to maintain an active SAM registration with current information at all times during which it has an active Federal award or an application or plan under consideration by a Federal awarding agency. The Federal awarding agency may not make a Federal award to an applicant until the applicant has complied with all applicable DUNS and SAM requirements and, if an applicant has not fully complied with the requirements by the time the Federal awarding agency is ready to make a Federal award._x000D_
</t>
  </si>
  <si>
    <t>RFI - DOE Infrastructure Work Scope Development</t>
  </si>
  <si>
    <t>DOE-ID</t>
  </si>
  <si>
    <t>Idaho Field Office</t>
  </si>
  <si>
    <t>DOE is seeking information, comments, feedback, and recommendations from interested parties to determine what capabilities supporting research, training and technology demonstration are of highest interest to the nuclear energy research community.All responses are to be made at NEUP.gov per the attached instructions.</t>
  </si>
  <si>
    <t>RFI - DOE R</t>
  </si>
  <si>
    <t>University, National Laboratory, Industry, and International Entities Input to the Office of Nuclear Energyâ€™s Competitive Research and Development Work Scope Development - DOE is seeking ideas in the areas of research, information, comments, feedback, and recommendations from interested parties for future work scopes for the major NE-funded research programs. All responses are to be made at NEUP.gov per the attached instructions.</t>
  </si>
  <si>
    <t>Small businesses Agricultural Producers</t>
  </si>
  <si>
    <t>REAP Renewable Energy Systems and Energy Efficiency Improvement Program._x000D_
_x000D_
Refer to Application Package AND Application Instruction links to obtain all necessary forms for a complete application._x000D_
_x000D_
Contact State Energy Coordinators with questions: http://www.rd.usda.gov/files/RBS_StateEnergyCoordinators.pdf</t>
  </si>
  <si>
    <t>Developing Methodologies for Coastal Impacts Associated with Climate Variability</t>
  </si>
  <si>
    <t>Others (see text field entitled "Additional Information on Eligibility" for clarification) See attached Notice of Intent</t>
  </si>
  <si>
    <t>See attached Notice of Intent</t>
  </si>
  <si>
    <t>Feed the Future Asia Innovative Farmers Activity</t>
  </si>
  <si>
    <t>USAID-THA</t>
  </si>
  <si>
    <t>Thailand USAID-Bangkok</t>
  </si>
  <si>
    <t xml:space="preserve">Others (see text field entitled "Additional Information on Eligibility" for clarification) Interested organizations should successfully demonstrate their capability and capacity to implement activities in the Asia region. U.S. and non-U.S. NGOs, are eligible to submit applications. For the purposes of this solicitation, NGOs include any incorporated entity, either non-profit or for-profit, other than a governmental organization. Please note that USAID policy is not to award profit under assistance instruments.  </t>
  </si>
  <si>
    <t xml:space="preserve">This is a pre-funding opportunity announcement only. No applications are requested at this time._x000D_
_x000D_
Please hold all questions/requests for information as they will not be responded to until the full announcement (RFA) is issued._x000D_
_x000D_
This notice in no way obligates USAID to release a solicitation or award. Issuance of a RFA will be subject to internal USAID approvals and the availability of funds. The request is expected to be available for the public in the next few weeks. Due to the competitive nature of the procurement, unsolicited applications will not be considered. All applications have to be submitted in response to the RFA._x000D_
_x000D_
USAID/RDMA anticipates awarding a five-year cooperative agreement (CA) to facilitate agricultural technology diffusion in Asia.  The CA will support an organization, or consortium of organizations with one legal entity as primary lead, to catalyze the transfer of scalable technology across the South and Southeast Asia regions, with a particular focus on Feed the Future (FTF) focus countries Bangladesh, Cambodia, and Nepal._x000D_
_x000D_
The program will consist of four components:_x000D_
1. The first component will be horticulture. The Recipient will identify a compelling regional horticultural problem, for which effective solutions can be explored through technology innovation and diffusion, preferably in partnership with regional private sector and/or academic partners. _x000D_
2. The second component, with conditions similar to the above, will be aquaculture. The aquaculture interventions should aim to improve the sustainability of production. _x000D_
3.The third component reflects USAID/RDMAâ€™s overarching vision for the activity, and will require the Recipient to develop and deliver an approach for identifying and implementing interventions addressing important regional agriculture or food security problems, through broad engagement with relevant stakeholders across the region._x000D_
4. The fourth component will be dynamic and flexible and will respond to the specific requests of the bilateral USAID FTF missions for support in addressing a problem through transferred technology. This component will be primarily bilateral mission initiated, designed, and funded._x000D_
	_x000D_
Dun and Bradstreet Universal Numbering System (DUNS) Number and System for Award Management (SAM)_x000D_
_x000D_
Please be advised that each applicant (unless the applicant is an individual or Federal awarding agency that is excepted from those requirements under 2 CFR Â§25.110(b) or (c), or has an exception approved by the Federal awarding agency under 2 CFR Â§25.110(d)) is required to: be registered in SAM before submitting its application;  provide a valid DUNS number in its application; and continue to maintain an active SAM registration with current information at all times during which it has an active Federal award or an application or plan under consideration by a Federal awarding agency. The Federal awarding agency may not make a Federal award to an applicant until the applicant has complied with all applicable DUNS and SAM requirements and, if an applicant has not fully complied with the requirements by the time the Federal awarding agency is ready to make a Federal award._x000D_
</t>
  </si>
  <si>
    <t>Climate and Large-Scale Dynamics</t>
  </si>
  <si>
    <t xml:space="preserve">The goals of the Program are to: (i) advance knowledge about the processes that force and regulate the atmosphere s synoptic and planetary circulation, weather and climate, and (ii) sustain the pool of human resources required for excellence in synoptic and global atmospheric dynamics and climate research.
_x000D_
Research topics include theoretical, observational and modeling studies of the general circulation of the stratosphere and troposphere; synoptic scale weather phenomena; processes that govern climate; the causes of climate variability and change; methods to predict climate variations; extended weather and climate predictability; development and testing of parameterization of physical processes; numerical methods for use in large-scale weather and climate models; the assembly and analysis of instrumental and/or modeled weather and climate data; data assimilation studies; development and use of climate models to diagnose and simulate climate and its variations and change.
_x000D_
Some Climate and Large Scale Dynamics (CLD) proposals address multidisciplinary problems and are often co-reviewed with other NSF programs, some of which, unlike CLD, use panels in addition to mail reviewers, and thus have target dates or deadlines. Proposed research that spans in substantive ways topics appropriate to programs in other divisions at NSF, e.g., ocean sciences, ecological sciences, hydrological sciences, geography and regional sciences, applied math and statistics, etc., must be submitted at times consistent with target dates or deadlines established by those programs. If it's not clear whether your proposed research is appropriate for co-review, please contact CLD staff.
_x000D_
CLD strongly encourages proposals from:
_x000D_
_x000D_
PIs at all career stages, including through the AGS Postdoctoral Research Fellowship program._x000D_
PIs at all institution types, including MSIs, non-R1 institutions, and institutions in EPSCoR jurisdictions._x000D_
PIs from traditionally underrepresented groups in Atmospheric Sciences._x000D_
</t>
  </si>
  <si>
    <t>Magnetospheric Physics</t>
  </si>
  <si>
    <t>Supports research on the magnetized plasma envelope of the outer atmosphere, including energization by the solar wind; the origin of geomagnetic storms and substorms; the population by solar and ionospheric sources; the origin of electric fields; the coupling among the magnetosphere, ionosphere, and atmosphere; and waves and instabilities in the natural plasma. Also supported are ground-based observational programs at high latitudes and laboratory experiments applicable to the geospace environment. Theoretical research programs may include numerical simulations using a variety of MHD, hybrid and particle codes. The analysis of data from all sources, whether ground-based or from spacecraft, is also supported.</t>
  </si>
  <si>
    <t>National Facilities</t>
  </si>
  <si>
    <t>The National Facilities program supports the operation of national user facilities: National Facilities areresearch facilities with specialized instrumentation available to the scientific research community in general and the materials research community in particular.These facilities provide unique research capabilities that can be located at only a few highly specialized laboratories in the Nation. They provide open user service for scientists and engineers from a broad range of disciplines including biology, chemistry, geosciences, materials research. and physics. Theyinclude facilities and resources for research using high magnetic fields, ultraviolet and x-ray synchrotron radiation, neutron scattering, and nanofabrication. Theyserve as science and technology-related resources and experiences for students. Theyconduct student and teacher education, general public awareness activities, curriculum development, and educational research.</t>
  </si>
  <si>
    <t>Geospace Facilities</t>
  </si>
  <si>
    <t>The National Science Foundation supports four large incoherent-scatter radar facilities and the SuperDARN coherent scatter radar system. The incoherent-scatter radars are located along a longitudinal chain from Greenland to Peru. Each of the incoherent-scatter facilities is also equipped with powerful optical diagnostic instruments. The SuperDARN consists of a number of coherent-scatter HF radars in both the northern and southern hemispheres. 
The major goal of Geospace Facilities (GF) is to promote basic research on the structure and dynamics of the Earth's upper atmosphere. Research efforts utilizing these facilities have strong links to the Aeronomy Program and the Magnetospheric Physics Program.</t>
  </si>
  <si>
    <t>Aeronomy</t>
  </si>
  <si>
    <t>The Aeronomy Program supports research from the mesosphere to the outer reaches of the thermosphere and all regions of the Earth s ionosphere. The Aeronomy Program seeks to understand phenomena of ionization, recombination, chemical reaction, photo emission, and the transport of energy, and momentum within and between these regions.The program also supports research into the coupling of this global system to the stratosphere below and magnetosphere above and the plasma physics of phenomena manifested in the coupled ionosphere-magnetosphere system, including the effects of high-power radio wave modification.
_x000D_
The Coupling, Energetics, and Dynamics of Atmospheric Regions (CEDAR) Program aims to understand changes in the atmosphere over short and long time scales. CEDAR is consistent with the recommendations and goals of the NAS Decadal Survey "Solar and Space Physics: A Science for a Technological Society". A primary goal of CEDAR is to explain how energy is transferred between atmospheric regions by combining a comprehensive observational program with theoretical and empirical modeling efforts. A data base of CEDAR observations is maintained for community use. The annual CEDAR Workshop attracts over 300 scientists including a large number of graduate students and as well as many international collaborators.</t>
  </si>
  <si>
    <t>Solar Terrestrial</t>
  </si>
  <si>
    <t>Supports research on the processes by which energy in diverse forms is generated by the Sun, transported to the Earth, and ultimately deposited in the terrestrial environment. Major topics include space weather impacts, helioseismology, the solar dynamo, the solar activity cycle, magnetic flux emergence, solar flares and eruptive activity, coronal mass ejections, solar wind heating, solar energetic particles, interactions with cosmic rays, and solar wind/magnetosphere boundary problems.</t>
  </si>
  <si>
    <t>Physical Oceanography</t>
  </si>
  <si>
    <t>The Physical Oceanography Program supports research on a wide range of topics associated with the structure and movement of the ocean, with the way in which it transports various quantities, with the way the ocean's physical structure interacts with the biological and chemical processes within it, and with interactions between the ocean and the atmosphere, solid earth and ice that surround it.</t>
  </si>
  <si>
    <t>Chemical Oceanography</t>
  </si>
  <si>
    <t>TheChemical OceanographyProgram supports research into the chemistry of the oceans and the role of the oceans in global geochemical cycles. Areas of interest include chemical composition, speciation, and transformation; chemical exchanges between the oceans and other components of the Earth system; internal cycling in oceans, seas, and estuaries; and the use of measured chemical distributions as indicators of physical, biological, and geological processes.</t>
  </si>
  <si>
    <t>The USAID Global Health Development Innovation Accelerator Broad Agency Announcement</t>
  </si>
  <si>
    <t>Others (see text field entitled "Additional Information on Eligibility" for clarification) Public, private, for-profit, and non-profit organizations, as well as institutions of higher education, public international organizations, non-governmental organizations, U.S. and non-U.S. government organizations, and international donor organizations are eligible under this BAA, unless otherwise stated in the individual BAA Addendum.  All organizations must be determined to be responsive to this BAA and sufficiently responsible to perform or participate in the final award type.</t>
  </si>
  <si>
    <t>This Broad Agency Announcement (BAA) seeks opportunities to co-create, co-design, co-invest, and collaborate in the development, testing, and scaling of innovative approaches that address critical global health challenges.  The United States Agency for International Development (USAID) invites organizations and companies to participate with USAID, in cooperation with its partners, in response to a Global Health Challenge Addenda issued under this BAA, as described below, to provide innovative interventions and technologies that further the U.S. GovernmentÂ’s commitment to prevent and manage critical global health challenges.</t>
  </si>
  <si>
    <t>The USAID Development Innovation Accelerator (DIA) Broad Agency Announcement (BAA) for Global Forestry and Biodiversity Conservation</t>
  </si>
  <si>
    <t>Others (see text field entitled "Additional Information on Eligibility" for clarification) Public, private, for-profit, and nonprofit organizations, as well as institutions of higher education, public international organizations, non-governmental organizations, U.S. and non-U.S. government organizations, multilateral and international donor organizations are eligible under this BAA, unless otherwise stated in the individual BAA Addendum. All organizations must be determined to be responsive to the BAA and sufficiently responsible to perform or participate in the final award type.</t>
  </si>
  <si>
    <t xml:space="preserve">This Broad Agency Announcement (BAA) seeks opportunities to co-create, co-design, co-invest, and collaborate in the research, development, piloting, testing, and scaling of innovative, practical and cost-effective interventions to address critical biodiversity conservation challenges. The United States Agency for International Development (USAID) invites organizations and companies to participate with USAID in response to a Critical Biodiversity Conservation Challenge Addendum issued under this BAA, as described below, to create more strategic, focused and results-oriented biodiversity programming and apply scientific and research-motivated approaches to support sustainable biodiversity conservation and development outcomes. This is the broad global forestry and biodiversity BAA for USAID. </t>
  </si>
  <si>
    <t>USAID/Brazil Partnership to Conserve Amazon Biodiversity</t>
  </si>
  <si>
    <t>USAID-PER</t>
  </si>
  <si>
    <t>Peru USAID-Lima</t>
  </si>
  <si>
    <t>Others (see text field entitled "Additional Information on Eligibility" for clarification) Public, private, for-profit, and non-profit organizations, as well as institutions of higher education, public international organizations, non-governmental organizations, U.S. and non-U.S. government organizations, and international donor organizations are eligible under this BAA, unless otherwise stated in the individual BAA Addendum</t>
  </si>
  <si>
    <t>This Broad Agency Announcement (BAA) seeks opportunities to co-create, co-design, co- invest, and collaborate in the development, piloting, and scaling of practical and cost-effective innovations that will help address critical challenges in biodiversity conservation in the Amazon. The United States Agency for International Development (USAID), in cooperation with the Government of Brazil (GOB), invites organizations and companies to participate with USAID, in cooperation with its partners, in response to Critical Conservation Challenge Addenda issued under this BAA, to provide innovations, and technologies that further USAIDÂ’s Development Objective of Enhanced Biodiversity Conservation for Brazilian Amazonian Protected Areas Systems.</t>
  </si>
  <si>
    <t>The USAID Fighting Ebola BAA</t>
  </si>
  <si>
    <t xml:space="preserve">Others (see text field entitled "Additional Information on Eligibility" for clarification) Public, private, for-profit, and non-profit organizations, as well as institutions of higher education, public international organizations, non-governmental organizations, U.S. and non-U.S. government organizations, and international donor organizations are eligible under this BAA, unless otherwise stated in the individual BAA Addendum.  All organizations must be determined to be responsive to this BAA and sufficiently responsible to perform or participate in the final award type.  </t>
  </si>
  <si>
    <t>This Broad Agency Announcement (BAA) seeks opportunities to co-create, co-design, co-invest, and collaborate in the development, testing, and scaling of practical and cost-effective innovations that can help healthcare workers on the front lines provide better care and stop the spread of Ebola.  The United States Agency for International Development (USAID) invites organizations and companies to participate with USAID, in cooperation with its partners, in response to Fighting Ebola Challenge Addenda issued under this BAA, as described below, to provide innovations and technologies that further the U.S. GovernmentÂ’s commitment to addressing the Ebola epidemic.</t>
  </si>
  <si>
    <t>USAID/Nigeria Education Crisis Response</t>
  </si>
  <si>
    <t>USAID-NIG</t>
  </si>
  <si>
    <t>Nigeria USAID-Abuja</t>
  </si>
  <si>
    <t xml:space="preserve">The purpose of this notice is to announce an  Annual Program Statement (APS) for the USAID/Nigeria Education Crisis Response. The overarching goal of the Education Crisis Response is to: Expand enrollment in appropriate, protective and relevant educational options for the girls, boys, and youth that are affected by violence in Northeastern Nigeria.Activities will provide targeted assistance for the girls, boys, and youth that are affected by violence in Northeastern Nigeria, and ensure that children and youth have continued access to an instructional routine in Adamawa and the buffer States of Bauchi and Gombe (with other States to be determined as needs require and conditions permit). Within this goal, the Education Crisis Response will address the following problems: Â•	Expected large increase in drop-out rates in affected States Â•	Over-crowding of classrooms and learning spaces due to influx of displaced populations Â•	Limited access for displaced children Â•	Shortage of qualified teachers and instructional materials for formal and non-formal education Â•	Children traumatized by violence and abductions, and families fear of sending their children to school Â•	Marginalization of girls and children with disabilities Â•	Rising tensions between host communities and displaced populations.Programs may have a maximum duration of 36 months. Priority will be given to applications that can be launched rapidly. USAID anticipates awarding approximately two to six awards ranging anywhere from minimum grant size of $300,000 and a maximum grant size of $15,000,000 made available either to one grantee, multiple grantees, or no grantees depending on the quality of the applications and availability of funds.Subject to the availability of funds, USAID intends to provide the funding in the total range of approximately $30,000,000. USAID/Nigeria reserves the right to make multiple grants, cooperative agreements, or no awards at all through this APS. Questions concerning this notice may be directed to Abdullahi Sadiq, USAID/Nigeria Assistance Specialist, at asadiq@usaid.gov with a copy to abujaeduprocurements@usaid.gov. Prospective applicants may not contact USAID technical staff directly for information on this APS Â– such contact may be grounds for exclusion from the competition. Until the Grants/ and/or Cooperative Agreements are awarded, all communication between applicants and USAID must be directed through the Assistance Specialist.This notice does not obligate USAID to award a grant or cooperative agreement, nor does it commit the U.S. Government to pay any cost incurred in the preparation and submission of applications.Deadline for submission of question for Round 1 was August 04, 2014. Deadline for submission of applications for Round 1 is: September 05, 2014.Prospective applicants are strongly advised to click the "FULL ANNOUNCEMENT" tab and download the APS and the APS Questions and Answers (Q&amp;A) for full details. </t>
  </si>
  <si>
    <t>Facilitating Research at Primarily Undergraduate Institutions:</t>
  </si>
  <si>
    <t>Others (see text field entitled "Additional Information on Eligibility" for clarification) *Who May Submit Proposals: Proposals may only be submitted by the following:
  -
Eligible predominantly undergraduate institutions (PUIs) are accredited colleges and universities (including two-year community colleges) that award Associate's degrees, Bachelor's degrees, and/or Master's degrees in NSF-supported fields, but have awarded 20 or fewer Ph.D./D.Sci. degrees in all NSF-supported fields during the combined previous two academic years.
*Who May Serve as PI:
See Additional Eligibility Information in Section IV.B of this solicitation.</t>
  </si>
  <si>
    <t xml:space="preserve">The Research in Undergraduate Institutions (RUI) and Research Opportunity Awards (ROA) funding opportunities support research by faculty members at predominantly undergraduate institutions (PUIs).Â  RUI proposals support PUI faculty in research that engages them in their professional field(s), builds capacity for research at their home institution, and supports the integration of research and undergraduate education. ROAs similarly support PUI faculty research, but these awards typically allow faculty to work as visiting scientists at research-intensive organizations where they collaborate with other NSF-supported investigators. 
_x000D_
_x000D_
Eligible PUIs are accredited colleges and universities (including two-year community colleges) that award Associate's degrees, Bachelor's degrees, and/or Master's degrees in NSF-supported fields, but have awarded 20 or fewer Ph.D./D.Sci. degrees in all NSF-supported fields during the combined previous two academic years. 
_x000D_
_x000D_
All NSF directorates may support RUI and ROA funding activities. Funding for these awards is contained within research and education program allocations and not held as a separate allocation. RUI and ROA proposals are evaluated and funded by NSF programs in the disciplinary areas of the proposed research and are funded at their discretion.Â 
_x000D_
Prospective PIs should contact disciplinary program officers to identify specific NSF programs and to determine the feasibility and timing of RUI/ROA requests. General RUI/ROA points of contact are available through the website http://www.nsf.gov/crssprgm/rui_roa/contacts.jsp.  
_x000D_
1. Research in Undergraduate Institutions (RUI). An RUI proposal may be: 
_x000D_
_x000D_
A request to support an individual research project or a collaborative research project involving PUI faculty and students at their own or other institutions._x000D_
A request involving shared research instrumentation._x000D_
_x000D_
2.Â  Research Opportunity Awards (ROA). The types of ROA opportunities include:Â 
_x000D_
_x000D_
A supplement to an existing NSF award to support ROA activities for PUI faculty._x000D_
Requests to rebudget funds in an existing NSF award to support ROA activities for PUI faculty._x000D_
Submission of a new collaborative proposal between a PUI and another institution(s), with a ROA component as a subaward or as part of a linked collaborative proposal. _x000D_
</t>
  </si>
  <si>
    <t>Ocean Drilling Program</t>
  </si>
  <si>
    <t xml:space="preserve">International Ocean Discovery Program Operations
_x000D_
The International Ocean Discovery Program (IODP) serves to advance basic research in the marine geosciences and is supported by the National Science Foundation (NSF) and its international partners. The science plan, Illuminating Earth's Past, Present, and Future: The International Ocean Discovery Program Science Plan for 2013-2023, provides justification for the United States' participation in the IODP and reflects the top priorities of the international science community. A multi-platform approach is required to address the goals outlined in the IODP science plan, including a non-riser vessel to collect widely-distributed high-resolution cores to address climate, environmental, crustal and observatory science objectives; a heavy riser-equipped vessel to reach the deep sedimentary and crustal layers; and mission-specific platforms to support high-latitude and shallow-water projects.
_x000D_
The light drillship, JOIDES Resolution, is provided by the U.S. National Science Foundation. Science operations for the JOIDES Resolution are conducted through a Cooperative Agreement with Texas A M University with scientific planning conducted by the JOIDES Resolution Facility Board.
_x000D_
The Ministry of Education, Culture, Sports, Science and Technology (MEXT) of Japan provides the heavy drillship, Chikyu (Earth), to conduct the deep drilling projects in the new program. The Center for Deep Earth Exploration of the Independent Administrative Institution, Japan Agency for Marine-Earth Science and Technology (JAMSTEC) operates the vessel for IODP. Scientific planning for Chikyu IODP operations is conducted by the Chikyu IODP Board.
_x000D_
Mission Specific Platforms (MSP) are provided by the European Consortium for Ocean Research Drilling (ECORD). The ECORD Facility Board conducts scientific planning for MSP expeditions and the platforms themselves are operated by the European Science Operator (ESO).
_x000D_
A Science Support Office (SSO) is provided by Scripps Institution of Oceanography, University of California San Diego under a Cooperative Agreement with the National Science Foundation. The SSO s primary tasks include:
_x000D_
_x000D_
providing logistical support for the JOIDES Resolution Facility Board and its advisory panels_x000D_
overseeing the proposal submission and review process_x000D_
managing the Site Survey Data Bank_x000D_
providing a gateway website to IODP scientific planning_x000D_
_x000D_
U.S. scientific community involvement in IODP is facilitated by the United States Science Support Program (USSSP) for Ocean Drilling. USSSP is run by Lamont-Doherty Earth Observatory of Columbia University under a Cooperative Agreement with the National Science Foundation. USSSP s primary tasks are:
_x000D_
_x000D_
support for U.S.-based researchers to participate on IODP expeditions, participate on the IODP advisory panels, and conduct initial post-expedition research_x000D_
support for planning and thematic workshops and pre-drilling activities to collect, refine, and/or integrate site specific and/or regional data that aid in planning drilling expeditions_x000D_
support outreach activities on IODP drilling platforms, for graduate students fellowships, and an IODP-themed lecture series. _x000D_
_x000D_
United States Science Support for Drilling-Related Research
_x000D_
Grant support for drilling-related research performed by United States scientists is available from the NSF. Proposals for most pre-expedition (e.g., site characterization) and post-expedition studies should be submitted through the appropriate NSF programs, such as Ocean Sciences Marine Geology and Geophysics, Earth Sciences, Polar Programs, etc.
_x000D_
Additional drilling-related research support for United States scientists may be obtained via the U.S. Science Support Program. Funding opportunities from this NSF-sponsored program include, but are not limited to:
_x000D_
_x000D_
supplemental funding ( $18,000) for post-expedition research by U.S scientists who participate in IODP expeditions_x000D_
planning activities, such as workshops on specific ocean-drilling scientific themes, topics, or geographic regions_x000D_
pre-drilling activities to acquire data or information that will enhance a drilling expedition._x000D_
</t>
  </si>
  <si>
    <t>US-Egypt Learning Program</t>
  </si>
  <si>
    <t>USAID-EGY</t>
  </si>
  <si>
    <t>Egypt USAID-Cairo</t>
  </si>
  <si>
    <t>Others (see text field entitled "Additional Information on Eligibility" for clarification) Full and Open  competition</t>
  </si>
  <si>
    <t xml:space="preserve">The purpose of this solicitation is to provide targeted technical assistance and training support to the Government of Egypt to enable it to effectively implement a sustainable, nation-wide early grade learning (reading and mathematics) as well as develop an approach for improving the instruction of English in primary school.  Over the last three years, the Ministry of Education has demonstrated strong commitment to design and scale up an Early Grade Reading Program (EGRP) that was developed in 2010 under a USAID-funded program (GILO Â– Girls for Improved Learning Outcomes).   Most recently the Ministry of Education (MOE) has decided to incorporate a mathematics component in the early grade reading program.  At the same time, the Ministry would like to improve the instruction of English.  Given the MinistryÂ’s strong commitment and experience, it is expected to take the lead in the US-Egypt Learning Program.  The role of the grantee will be a supportive one.  The grantee will solidify and build on the EGRP strategies and approaches introduced by GILO, and expand them to be fully institutionalized.  Specifically the grantee will collaborate with the MOE to:  _x000D_
(1)	 Strengthen early grade reading instruction, and improve mathematics and English language teaching and learning materials and instructional approaches _x000D_
(2)	Develop cost-effective national assessments for reading and mathematics as well and monitoring and reporting systems._x000D_
(3)	Institutionalize pre-service and in-service professional development systems for early grade teachers and supervisors._x000D_
(4)	Improve the education delivery system and build the capacity of Governorate and Idara (district) teams to develop and implement education plans that include budgets for early grade learning, incentives, and needed human resources._x000D_
</t>
  </si>
  <si>
    <t>More Transparent and Accountable Governanace</t>
  </si>
  <si>
    <t>USAID-GEO</t>
  </si>
  <si>
    <t>Georgia USAID-Tbilisi</t>
  </si>
  <si>
    <t xml:space="preserve">This is for informational purposes, for potential offerors/applicants to plan accordingly.  This project summary is intended to provide a broad picture of the mission's planned approach to good governance; it is one of three democracy and governance projects under the USAID Mission's 2013-2017 CDCS. We do not anticipate this project to change significantly. The next postings related to this document will be Requests for Proposals/Requests for Applications.  </t>
  </si>
  <si>
    <t>USAID/DCHA/FFP International Emergency Food Assistance</t>
  </si>
  <si>
    <t xml:space="preserve">Title II and Emergency Food Security Program (EFSP) awards to provide local and/or regional purchase of food and/or food vouchers and/or cash transfers.  </t>
  </si>
  <si>
    <t>Child, Newborn, and Maternal Health Project</t>
  </si>
  <si>
    <t>USAID-PAK</t>
  </si>
  <si>
    <t>Pakistan USAID-Islamabad</t>
  </si>
  <si>
    <t xml:space="preserve">Others (see text field entitled "Additional Information on Eligibility" for clarification) The purpose of this amendment is to cancel the Request for Application No:. 391-13-000009 for implementation of the  Child, Newborn, and Maternal Health Activity. </t>
  </si>
  <si>
    <t>The purpose of this amendment is to cancel the Request for Application No:. 391-13-000009 for implementation of the Â“Child, Newborn, and Maternal Health Activity.Â”</t>
  </si>
  <si>
    <t>Sequestration Information</t>
  </si>
  <si>
    <t>DOE-01</t>
  </si>
  <si>
    <t>Headquarters</t>
  </si>
  <si>
    <t>Others (see text field entitled "Additional Information on Eligibility" for clarification) Notice</t>
  </si>
  <si>
    <t>Notice</t>
  </si>
  <si>
    <t>Microbicides Research, Development, and Introduction</t>
  </si>
  <si>
    <t>Others (see text field entitled "Additional Information on Eligibility" for clarification) Elibility requirements included in attached document.</t>
  </si>
  <si>
    <t>Clinical trials of vaginal microbicide have been tested recently in South Africa to determine efficacy of reduction of HIV infection.  Microbicide research, development, and introduction activities which could potentially be supported through this APS mechanism are expected to contribute substantially to the Principles of the Global Health Initiative (GHI), particularly in promoting research and innovation; implementing a woman- and girl-centered approach; strengthening and leveraging inputs from multilateral organizations, global health partnerships, and the private sector; and encouraging country ownership and leadership.  Potential activities could also contribute significantly to strengthening the health system building blocks related to commodities and procurement, service delivery, and leadership and governance.  It is expected that gender analyses and other gender considerations will continue to inform the design and implementation of activities implemented as part of the AgencyÂ’s microbicide program.  All awards will also be subject to USAID environmental requirements, including completion of an initial environmental examination.See attached APS for full Funding Opportunity description.</t>
  </si>
  <si>
    <t>School Improvement Program</t>
  </si>
  <si>
    <t xml:space="preserve">Others (see text field entitled "Additional Information on Eligibility" for clarification) United States Government, represented by the Agency for International Development (USAID) Mission to the West Bank and Gaza is seeking applications from qualified U.S. Non-Governmental Organizations (NGOs), U.S. Private Voluntary Organizations (PVOs), Public International Organizations (PIOs), and U.S. for profit firms (provided they forgo profit) to implement a program entitled  School Improvement Program . _x000D_
_x000D_
Pursuant to 22 CFR 226.81, it is USAID policy not to award profit under assistance instruments.  However, all reasonable, allocable and allowable expenses, both direct and indirect, which are related to the agreement program and are in accordance with applicable cost standards (22 CFR 226, OMB Circular A-122 for non-profit organization, OMB Circular A-21 for universities, and the Federal Acquisition Regulation (FAR) Part 31 for profit organizations), may be paid under the anticipated award._x000D_
_x000D_
USAID welcomes applications from organizations which have not previously done business with USAID._x000D_
_x000D_
Applicants must have established financial management, monitoring and evaluation, internal control systems, and policies and procedures that comply with established U.S. Government standards, laws, and regulations.  The successful applicant(s) will be subject to a responsibility determination issued by a warranted Agreement Officer (AO) in USAID._x000D_
_x000D_
The Recipient must be a responsible entity.  The AO may determine a pre-award survey is required and if so, would establish a formal survey team to conduct an examination that will determine whether the prospective recipient has the necessary organization, experience, accounting and operational controls, and technical skills   or ability to obtain them   in order to achieve the objectives of the program._x000D_
_x000D_
</t>
  </si>
  <si>
    <t>Marginalized Palestinian areas suffer from a multitude of political, security and socio-economic problems that hinder development work and put the population at serious risk. The Palestinian Authority (PA) has limited authority and capability to reach all Palestinian areas to provide meaningful support to its residents.  The School Improvement Program will implement interventions to improve the educational environment and quality of education in the most disadvantaged Palestinian areas. This program will provide support to public and private schools in the most disadvantaged Palestinian areas. The primary goal of the program is to improve access to quality education and mitigate challenges to youth development in marginalized areas.  The sub-goals include:  1)	Improved educational facilities through renovation.2)	Improved teaching and learning through teacher training as appropriate, provision of educational resources, and collaboration with local communities.3)	Expanded opportunities for youth development through extracurricular activities, career counseling and training in schools after hours.Illustrative outcomes include:Â•	Improved human and physical educational resources that contribute to narrowing the achievement gap between students in underserved and better served Palestinian areas.Â•	Organized and sustained extracurricular activities and youth programs.Â•	Established networks between teachers, administrators, counselors, officials and community representatives in the targeted schools aiming at improving the quality of education and youth programming.Â•	Enhanced community involvement in school decision-making.Â•	Strengthened educational institutions that provide services to learners.</t>
  </si>
  <si>
    <t>Service Delivery and Support for Families Caring For Orphans and Vulnerable Children (OVC)</t>
  </si>
  <si>
    <t>USAID-SAF</t>
  </si>
  <si>
    <t>South Africa USAID-Pretoria</t>
  </si>
  <si>
    <t xml:space="preserve">Others (see text field entitled "Additional Information on Eligibility" for clarification) Any local South African non-governmental organization (NGO) and for-profit organization meeting the criteria in section III is eligible to apply under this RFA.  </t>
  </si>
  <si>
    <t>The purpose of this program is to improve the well-being of families and their vulnerable children through comprehensive and coordinated evidence-based interventions that strengthen the capacity of families and communities to care for vulnerable children in sub-districts and districts with high HIV prevalence, high maternal mortality, and a high number of orphans and vulnerable children.</t>
  </si>
  <si>
    <t>Comprehensive District-Based Support for Better HIV/TB Patient Outcomes</t>
  </si>
  <si>
    <t>Others (see text field entitled "Additional Information on Eligibility" for clarification) See RFA for eligibility information.</t>
  </si>
  <si>
    <t>The United States Government, as represented by the United States Agency for International Development (USAID) Mission to Southern Africa, is seeking applications from organizations interested in implementing a five-year comprehensive district-based HIV-related services support program for better patient outcomes, as fully described in this Request for Applications (RFA).</t>
  </si>
  <si>
    <t>African Institutions Innovation Mechanism (AIIM)</t>
  </si>
  <si>
    <t>Others (see text field entitled "Additional Information on Eligibility" for clarification) This opportunity is restricted to applicants that are operational in at least two of the following countries and legally registered in one: Burundi, Democratic Republic of the Congo, Djibouti, Ethiopia, Kenya, Rwanda, South Sudan, Sudan, Tanzania, and/or Uganda</t>
  </si>
  <si>
    <t>Please refer to the following link for the description of the program description:http://www.feedthefuture.gov/sites/default/files/country/strategies/files/EastAfricaFTFMulti-YearStrategy.pdf</t>
  </si>
  <si>
    <t>Vegetation Interns</t>
  </si>
  <si>
    <t>Others (see text field entitled "Additional Information on Eligibility" for clarification) *Task agreement already awarded to SCA for the work described.</t>
  </si>
  <si>
    <t>*Task agreement already awarded to SCA for the work described.</t>
  </si>
  <si>
    <t>Systems Strengthening for Better HIV/TB Patient Outcomes</t>
  </si>
  <si>
    <t xml:space="preserve">Others (see text field entitled "Additional Information on Eligibility" for clarification) Local South African non-governmental organizations (NGO) and for-profit organizations meeting the criteria in section III.  </t>
  </si>
  <si>
    <t>The purpose of this program is to strengthen South African Government (SAG) systems in order to improve patient outcomes and prevent HIV by supporting comprehensive clinic-based (hospitals, community health centers, and primary health care clinics) HIV-related services.</t>
  </si>
  <si>
    <t>Data Management</t>
  </si>
  <si>
    <t xml:space="preserve">Others (see text field entitled "Additional Information on Eligibility" for clarification) Youth Organization </t>
  </si>
  <si>
    <t>The objective of this project is to participate collaboratively in data management and other conservation activities to document and archive information related to much on-going and new resource management projects.  The interns will gain experience in planning and environmental assessments, NEPA, FLPMA, GIS, data entry, data archiving, report writing and other position-related skills, using ArcView, Microsoft Office Suite, and other software. In addition, they will actively participate in conservation project implementation in order to better understand project documentation and data management.</t>
  </si>
  <si>
    <t>NSF-NIST Interaction in Basic and Applied Scientific Research in BIO, ENG   MPS</t>
  </si>
  <si>
    <t>Others (see text field entitled "Additional Information on Eligibility" for clarification) *PI Limit:_x000D_
Only principal investigators (PIs) on current NSF awards from participating divisions in the BIO, ENG or MPS Directorates are eligible to apply for supplements.</t>
  </si>
  <si>
    <t>This Dear Colleague Letter is intended to facilitate interactions between Principal Investigators (PIs), co-PIs, post-doctoral scholars and both undergraduate and graduate students supported by the National Science Foundation (NSF) and scientists and engineers at the National Institute of Standards and Technology's (NIST).  NIST operates a vast array of instruments and measurement systems, both commercial equipment and specialized tools developed by NIST researchers.  Researchers from industry, academia, and non-profit organizations interested in working collaboratively with NIST researchers on projects of mutual interest may access these systems as part of that research.  Supplemental support to existing NSF awards may be requested to allow PIs, co-PIs, post-doctoral scholars and both undergraduate and graduate students on these awards to participate in such collaborative research at NIST.</t>
  </si>
  <si>
    <t>Climate Program Office for FY 2012</t>
  </si>
  <si>
    <t xml:space="preserve">Others (see text field entitled "Additional Information on Eligibility" for clarification) Eligible applicants are institutions of higher education, other nonprofits, commercial organizations, international organizations, and state, local and Indian tribal governments. Federal agencies or institutions are not eligible to receive Federal assistance under this notice.  </t>
  </si>
  <si>
    <t xml:space="preserve">Changing climate confronts society with significant economic, health, safety, and national security challenges. NOAA advances scientific and technical programs to help society cope with, and adapt to, today's variations in climate and to prepare for tomorrow's.  Toward this end, the agency conducts and supports climate research, observations, modeling, information management, assessments, interdisciplinary decision support research, outreach, education, and stakeholder partnership development.  These investments are key to NOAA's mission of "Science, Service, and Stewardship" and are guided by the agency's vision to create and sustain enhanced resilience in ecosystems, communities, and economies, as described in NOAA's Next Generation Strategic Plan (NGSP) .   Fostering climate adaptation and mitigation, and, specifically, the development of an informed society anticipating and responding to climate and its impacts - is one of the primary pathways through which NOAA plans to advance its mission. The NGSP outlines NOAA's five-year climate objectives: 1) Improved scientific understanding of the changing climate system and its impacts; 2) Assessments of current and future states of the climate system that identify potential impacts and inform science, service, and stewardship decisions; 3) Mitigation and adaptation choices supported by sustained, reliable, and timely climate services; and 4) A climate-literate public that understands its vulnerabilities to a changing climate and makes informed decisions. NOAA works in partnership with Federal, academic, private, and international research entities, and places a substantial emphasis on productive partnerships and interactions with decision makers and other stakeholders.Within this context, NOAA's Climate Program Office (CPO) manages competitive research programs conducted in regions across the United States, at national and international scales, and globally. The CPO also provides strategic guidance and oversight for the agency's climate science and services programs and helps to integrate capabilities from across the agency to provide enhanced services to its constituents. Achieving the first of the NGSP climate objectives, an improved scientific understanding of the changing climate system and its impacts, requires a number of core capabilities be supported.  These core capabilities can be broadly categorized to include: (a) understanding and modeling, (b) observing systems, data stewardship, and climate monitoring, (c) predictions and projections, and (d) integrated service development and decision support.These core capabilities, in turn, will focus initially on the following societal challenges identified in the NGSP as early evidence of progress to be made by NOAA in providing sustained, reliable, and timely climate services:*      Climate Impacts on Water Resources*     Coasts and Climate Resilience*     Sustainability of Marine Ecosystems*     Changes in Extremes of Weather and Climate*     Information for Mitigating Climate ChangeEach of the Competitions announced in this Federal Funding Opportunity addresses one or more of these core capabilities or societal challenges.  It is expected that applications submitted in response to this Opportunity will identify their relevance to NOAA's climate science and services by indicating which core capabilities and/or societal challenges will be addressed by the proposed work.  Application abstracts must include a paragraph describing the work's relevance to the NGSP's long-term goal of climate adaptation and mitigation as well as to the Competition that is being targeted.In FY 2012, we estimate that $15.5 million will be available for approximately 60 new awards pending budget appropriations.   It is anticipated that most awards will be at a funding level between $50,000 and $200,000 per year, with some exceptions for larger awards.  Investigators are highly encouraged to visit the CPO website http://www.cpo.noaa.gov/index.jsp?pg=/opportunities/opp_index.jsp&amp;opp=2012/program_elements.jsphttp://www.noaa.gov/ngsp </t>
  </si>
  <si>
    <t>INFORMATION ON UGANDA LITERACY AND HEALTH EDUCATION PROGRAM</t>
  </si>
  <si>
    <t>USAID/Uganda is in the process of designing a new program to support UgandaÃ¯Â¿Â½s Ministry of Education and Sports (MOES) to provide high-quality literacy and HIV/AIDS education.    USAID/Uganda is posting this Concept Paper in order to provide public access to any parties interested in USAIDÃ¯Â¿Â½s support to the education sector in Uganda.  This Concept Paper is intended solely as a thought-piece; ideas contained herein may change significantly during the MissionÃ¯Â¿Â½s program design, consultation and approval process._x000D_
_x000D_
_x000D_
This program is designed in support of UgandaÃ¯Â¿Â½s National Development Plan and the policies laid out in the 1992 Government White Paper on Education.  In line with the Paris Declaration, this program will support the MOES by planning and implementing activities through MOES structures and systems.</t>
  </si>
  <si>
    <t>UGANDA FEED THE FUTURE (FTF) PROGRAMS</t>
  </si>
  <si>
    <t xml:space="preserve">See Application Package for more detailed information on Uganda Feed the Future (FTF) programs._x000D_
_x000D_
This is not a call for applications. This is information to let the public know of USAID/Uganda's anticipated future FTF programming for FY 2010._x000D_
_x000D_
The U.S. Government (USG) anticipates a five-year $150M commitment to be invested in programs that align directly with the goals of Uganda's Development Strategy and Investment Plan (DSIP) with a strategic focus on the maize, beans and coffee value chains. _x000D_
 </t>
  </si>
  <si>
    <t>Palestinian Community Assistance Program</t>
  </si>
  <si>
    <t xml:space="preserve">Others (see text field entitled "Additional Information on Eligibility" for clarification) U.S. Non-Governmental Organizations (U.S. NGOs), U.S. Private Voluntary Organization (PVO), Public International Organizations (PIO), or a U.S. for profit firm (provided they forgo profit). </t>
  </si>
  <si>
    <t xml:space="preserve">USAID/West Bank and Gaza - Palestinian Community Assistance ProgramPre-Solicitation Notice The United States Government (USG), through USAID, has been one of the leading donors of humanitarian assistance to the people of Gaza since the onset of military operations in December 2008.  USAID assistance has focused on the delivery of food and non-food items (including clothing, household items, and hygiene kits), school and classroom supplies for private schools, and emergency supplies (blankets, plastic sheeting, and medical supplies).  This assistance was a critical lifeline for the people of Gaza in the immediate aftermath of Operation Cast Lead and throughout the ensuing months. Humanitarian assistance and disaster response remain key pillars of USG support for Gaza. Additionally, USAID planning for future assistance has increasingly focused on recovery programs that both meet basic human needs and address the recovery of livelihoods for Gazan families.  USAID/West Bank and Gaza will be releasing an RFA that intends to award one Cooperative Agreement to an organization that would manage and oversee humanitarian and recovery sub-grants over a multi-year period.  The RFA will fund complex programming in Gaza which promotes long-term food security, safe and secure housing options, improved infrastructure, household-level economic recovery, and other economic recovery opportunities.  These efforts are in line with the priorities established in the Palestinian AuthorityÂ’s Early Recovery and Reconstruction Plan for Gaza.  Projects funded under this RFA may include activities in the health, education, agriculture, infrastructure, or economic sectors.  Examples of potential activities may include constructing agricultural infrastructure, rehabilitating irrigation systems, providing emergency food and non-food items, constructing or rehabilitating private schools/health clinics, building womenÂ’s centers, weatherizing private homes, or providing educational programming for school age children.  Such activities will provide a tangible benefit to the people of Gaza in 2010 and beyond.  </t>
  </si>
  <si>
    <t>Civic Participation Program</t>
  </si>
  <si>
    <t xml:space="preserve">Others (see text field entitled "Additional Information on Eligibility" for clarification) Qualified U.S. Non-Governmental Organizations (NGOs), U.S. Private Voluntary Organizations (PVOs) registered with USAID, Public International Organizations (PIOs), or U.S. for profit firms (provided they forgo profit). _x000D_
_x000D_
Note for For-Profit Organizations: Pursuant to 22 CFR   226.81, it is USAID s policy not to award fees nor profit under assistance instruments. Other reasonable, allocable, and allowable expenses, both direct and indirect, which are related to the agreement program and are in accordance with applicable cost standards (OMB Circular A-122 for nonprofit organizations), may be paid under the agreement.  </t>
  </si>
  <si>
    <t xml:space="preserve">The United States Agency for International Development (USAID) Mission to the West Bank and Gaza is seeking applications from qualified U.S. Non-Governmental Organizations (NGOs), U.S. Private Voluntary Organizations (PVOs) registered with USAID, Public International Organizations (PIOs), or U.S. for profit firms (provided they forgo profit) to implement a program entitled Â“Civic Participation ProgramÂ” in the West Bank and Gaza. The authority for the RFA is found in the Foreign Assistance Act of 1961, as amended._x000D_
_x000D_
Subject to the availability of funds, USAID/West Bank and Gaza intends to provide approximately $18 Million in total USAID funding for this activity to be allocated over a three- year period.  USAID reserves the right to fund any or none of the applications submitted. Although it is planned to make an award of one Cooperative Agreement under this RFA, USAID/West Bank and Gaza in its discretion may make awards to more than one organization or no award.  _x000D_
_x000D_
The purpose of the Civic Participation Program is to reinvigorate civic participation in the Palestinian Authority (PA) decision-making process, in the monitoring and oversight of government institutions, and in the broader public sector discourse in order to ensure a more vibrant and robust democratic dialogue between the government and the citizens of the future Palestinian state._x000D_
_x000D_
 	The three major program objectives are:_x000D_
_x000D_
1)	Increased institutional capacity of targeted civil society organizations, _x000D_
_x000D_
2)	Increased public awareness of how to participate in public sector decision making with targeted PA institutions and local governmental entities_x000D_
_x000D_
3)	New strategic partnerships among government institutions, citizens, civil society actors, and other stakeholders._x000D_
_x000D_
This activity will support the USAID/West Bank and Gaza MissionÂ’s Assistance Objective 11: Â“To reinforce Palestinian efforts to strengthen the performance and democratic practices of selected public sector institutions and non-state actorsÂ” as outlined in the MissionÂ’s Democracy and Governance Strategy. It will be managed by the USAID/WBGÂ’s Democracy and Governance Office (DGO)._x000D_
_x000D_
 	The four program components are as follows:_x000D_
_x000D_
1.	Civic participation and CSO capacity building_x000D_
2.	Coalition building_x000D_
3.	Windows of Opportunity_x000D_
4.	A robust monitoring and evaluation _x000D_
</t>
  </si>
  <si>
    <t>Community Infrastructure Development Program</t>
  </si>
  <si>
    <t xml:space="preserve">Others (see text field entitled "Additional Information on Eligibility" for clarification) APPLICANT ELEGIBIILTY/QUALIFICATIONS _x000D_
_x000D_
U.S. Non-Governmental Organizations (U.S. NGOs), U.S. Private Voluntary Organization (PVO), Public International Organizations (PIO), or a U.S. for profit firm (provided they forgo profit) actively engaged in activities consistent with the program objectives may submit applications based upon this Request for Applications (RFA).  Applicants should have a successful track record in design and implementation of programs similar to that described herein. _x000D_
</t>
  </si>
  <si>
    <t xml:space="preserve">Community Infrastructure Development Program_x000D_
_x000D_
Increased access to improved public infrastructure is a critical foundation for social and economic development.  Existing infrastructure in Palestine perpetuates poor and deteriorating public services and slows economic growth.  Based on the Palestinian Authority (PA) Bureau of the Census and Statistics, about 10% of Palestinian households still have no access to running water -- this represents about 123 localities, villages and communities.  Health facilities have degraded rapidly since 2000 and there is a continuous need for rehabilitation of hospitals and clinics and construction of new facilities.  Almost 45% of the road network in the West Bank is in poor or failed condition.  Furthermore, the PA needs about 50 schools (1000 classrooms) in the West Bank every year just to accommodate the increase in student population.  This situation has developed over many years of economic and political stagnation, rapid population growth, lack of proper maintenance and inadequate investment.  Most affected are marginalized Palestinians living in remote and rural communities.  _x000D_
_x000D_
Faced with aging infrastructure and public demand for better services, the PA has struggled to allocate sufficient resources to fully support the maintenance of existing infrastructure.  With the current economic crisis, the PAÂ’s revenues have been reduced to the point where funding for even minimal levels of infrastructure upkeep, repair, or expansion, is extremely difficult.  Nonetheless, the PA recognizes the need to address such infrastructure deficiencies immediately.   _x000D_
_x000D_
The Community Infrastructure Development Program would respond to small to medium scale infrastructure needs identified by the PA and the USAID/West Bank and Gaza Mission to support improved physical infrastructure.  Activities considered under this program will include, but not be limited to, the construction and renovation of schools and kindergartens; upgrade of vocational education schools facilities; rehabilitation and development of youth/women and recreational centers; rehabilitation and development of roads, sidewalks and public parks; and upgrading and renovation of NGO/private health facilities._x000D_
_x000D_
OBJECTIVE_x000D_
_x000D_
The objectives of the Community Infrastructure Development Program are to:_x000D_
_x000D_
Provide basic multi-sector infrastructure packages to remote communities in order to raise their standard of living;_x000D_
_x000D_
Support requests to increase the impact of USAID-funded programs in health, democracy and governance, education and the private sector by addressing underlying infrastructure needs which may be limiting the impact of those programs; and_x000D_
_x000D_
To the full extent practicable, provide employment opportunities to Palestinian communities, enhance local government capacity to respond to urgent infrastructure needs, and encourage community participation and empowerment in the planning, design, construction, and maintenance of public infrastructure.  _x000D_
</t>
  </si>
  <si>
    <t>Community Livelihoods Project in Yemen</t>
  </si>
  <si>
    <t>Others (see text field entitled "Additional Information on Eligibility" for clarification) Full and Open</t>
  </si>
  <si>
    <t xml:space="preserve">In the near future, USAID/Yemen intends to announce a full and open competition to implement the MissionÂ’s Community Livelihoods Project (CLP) subject to the availability of funds.  This integrated, flexible, multi-sectoral initiative will serve as the flagship project for the MissionÂ’s implementation of the 2010-2012 USAID/Yemen Strategy.  CLP is not a traditional development initiative, but it will rely heavily on tried and proven as well as innovative tools transition and development environments.  The project is intended to mitigate the drivers of instability in some of YemenÂ’s most difficult areas through the facilitation and implementation of quality government service delivery, job creation, responsive local governance, and active civic participation.  Rapidly responding to community-based initiatives to demonstrate USAIDÂ’s and the Government of YemenÂ’s commitment to underserved communities will be a hallmark of this project.  Youth under 25 years old, representing 75% of YemenÂ’s population, will be a particularly important demographic group throughout implementation.  Activities will quickly and effectively mitigate critical threats to stability in Yemen by building trust and relationships between communities with historically difficult relations with Yemeni authorities and the citizens in targeted areas.  This project will be expected to build on and complement ongoing activities during the transition phase between the existing portfolio of USAID/Yemen projects and this flagship initiative.  Very close coordination and collaboration with the MissionÂ’s future National Governance Project (NGP) will be extremely important during the implementation of the CLP.   The implementer also will partner with and make extensive use of local, Yemeni organizations during the implementation of the project.  The implementer also will coordinate with USAIDÂ’s future Monitoring and Evaluation Project to help ensure that program results are tracked against stability measures.USAID/YemenÂ’s 2010-2012 Strategy will be released when this solicitation is released for bid.  USAID anticipates an award for a base period of three years with the potential for follow-on activities dependent on performance and availability of funding.  Subject to the availability of funds, the estimated budget for the three year base period is approximately $65 million.Please note that the Mission staff will be unable to entertain meetings or respond to queries with prospective implementers at this stage.  For further information, please check the web site www.grants.gov in the near future.  </t>
  </si>
  <si>
    <t>National Governance Project in Yemen</t>
  </si>
  <si>
    <t xml:space="preserve">In the near future, USAID/Yemen intends to announce a full and open competition to implement the MissionÂ’s future National Governance Project (NGP) subject to the availability of funds.  This integrated, multi-sectoral program will be technically complementary to USAID/YemenÂ’s future flagship project, the Community Livelihoods Project (CLP).  NGP will be a key part of the MissionÂ’s implementation program under the 2010-2012 USAID/Yemen Strategy.  NGP is intended to facilitate more equitable socio-economic development by strengthening public policies and institutions that will contribute to mitigating the drivers of instability in Yemen.  A more equitable, representative, transparent, responsive, and reliable Yemeni government that meets the needs of its most vulnerable citizens is one way to help achieve USAIDÂ’s objectives.  As the needs in Yemen are great, the implementer will focus on initiatives that directly satisfy the needs identified in USAIDÂ’s strategy, that are supported by the Republic of Yemen GovernmentÂ’s (ROYG) or that would require relatively little effort to garner support, and that will have the biggest strategic impact for the resources expended.  Activities will quickly and effectively mitigate critical threats to stability in Yemen by reestablishing trust, respect, and, in some communities, legitimacy for the Government of Yemen.  Youth will be a particularly important demographic group throughout implementation.  The implementer will make particular effort to complement the efforts of USAIDÂ’s future CLP community-based interventions as a way to improve conditions in YemenÂ’s underserved, vulnerable communities.  The implementer also will partner with and make extensive use of local, Yemeni organizations during the implementation of the project.  The implementer also will coordinate with USAIDÂ’s future Monitoring and Evaluation Project to help ensure that program results are tracked against stability measures.USAID/YemenÂ’s 2010-2012 Strategy will be released when this solicitation is released for bid.  USAID anticipates an award for a base period of three years with the potential for follow-on activities dependent on performance and availability of funding.  Subject to the availability of funds, the estimated budget for the three year base period is approximately $20 million.Please note that the Mission staff will be unable to entertain meetings or respond to queries with prospective implementers at this stage.  For further information, please check the web site www.grants.gov in the near future.  </t>
  </si>
  <si>
    <t>Supplemental Opportunity for SBIR/STTR Memberships in I/UCRCs</t>
  </si>
  <si>
    <t>NSF invites supplemental requests for Small Business Innovation Research and Small Business Technology Transfer (SBIR/STTR) grantees to join an Industry/University Cooperative Research Center (I/UCRC). The supplements are intended to accelerate the innovation process by partnering industry-relevant academic research with commercialization focused small business research. The supplements will enable small businesses to purchase annual memberships in I/UCRCs; thus opening the doors to the benefits of the centers  collaborative research endeavors, which are directed to the needs of specific industries. Please see the  Related URL  section for additional information about this opportunity.</t>
  </si>
  <si>
    <t>Office of Elementary   Secondary Education; Overview Information: Race to the Top Fund (ARRA)  CFDA 84.395</t>
  </si>
  <si>
    <t>State governments States. As defined by Section 14013 of the American Recovery and Reinvestment Act (ARRA), the term   means each of the 50 States, the District of Columbia, and the Commonwealth of Puerto Rico. Awards are made to States (as required by Section 14006(a)(2) of the ARRA). States that receive a Race to the Top grant must use at least 50 percent of the award to provide subgrants to local educational agencies (LEAs), including public charter schools identified as LEAs under State law, based upon LEAs' relative shares of funding under Part A of Title I of the Elementary and Secondary Education Act of 1965, as amended.</t>
  </si>
  <si>
    <t>The Race to the Top is a $4.35 billion competitive grant program designed to encourage and reward States that are creating the conditions for education innovation and reform and implementing ambitious plans in four core education reform areas:Â• Adopting internationally-benchmarked standards and assessments that prepare students for success in college and the workplace; Â• Recruiting, developing, retaining, and rewarding effective teachers and principals; Â• Building data systems that measure student success and inform teachers and principals how they can improve their practices; and Â• Turning around lowest-performing schoolsThe overarching goals are to:Â• Drive substantial gains in student achievementÂ• Improve high school graduation rates and prepare students for success in college and careersÂ• Close achievement gapsThe Department plans to make Race to the Top grants in two phases. States that are ready to apply may do so in Phase 1, which will open in late 2009. States that need more time may apply in Phase 2, which will open in spring 2010. States that apply in Phase 1 but are not awarded grants may reapply for funding in Phase 2, together with States that are applying for the first time in Phase 2. Phase 1 grantees may not apply for additional funding in Phase 2. We will announce specific deadlines for both Phase 1 and Phase 2 in subsequent notice(s) inviting applications for funds under this program.</t>
  </si>
  <si>
    <t>Sociology</t>
  </si>
  <si>
    <t>The Sociology Program supports basic research on all forms of human social organization  societies, institutions, groups and demography  and processes of individual and institutional change. The program encourages theoretically focused empirical investigations aimed at improving the explanation of fundamental social processes. This includes research on organizations and organizational behavior, population dynamics, social movements, social groups, labor force participation, stratification and mobility, family, social networks, socialization, gender, race and the sociology of science and technology. The program supports both original data collection and secondary data analysis that use the full range of quantitative and qualitative methodological tools. Theoretically grounded projects that offer methodological innovations and improvements for data collection and analysis are also welcomed.
_x000D_
Principal Investigators should selectPD 98-1331in the program announcement/solicitation block on the proposal cover sheet for submission of regular research projects to the sociology program. Projects are evaluated using the two foundation-wide criteria, intellectual merit and broader impacts. In assessing the intellectual merit of proposed research, four components are key to securing support from the Sociology Program: (1) the issues investigated must be theoretically grounded; (2) the research should be based on empirical observation or be subject to empirical validation or illustration; (3) the research design must be appropriate to the questions asked; and (4) the proposed research must advance our understanding of social processes, structures and methods.
_x000D_
NSF also offers a number of specialized funding opportunities through its crosscutting and cross-directorate activities; some of the sociology-related opportunities are listed below.
_x000D_
Crosscutting Research   Training Opportunities:
_x000D_
_x000D_
ADVANCE: Increasing the Participation and Advancement of Women in Academic Science and Engineering Careers_x000D_
Faculty Early Career Development (CAREER) Program_x000D_
Graduate Research Fellowship Program (GRFP)_x000D_
Major Research Instrumentation (MRI) Program_x000D_
Mid-scale Research Infrastructure Programs_x000D_
SBE Postdoctoral Research Fellowships (SPRF)_x000D_
Research Experiences for Undergraduates (REU)_x000D_
Research at Undergraduate Institutions (RUI)_x000D_
Small Business Innovation Research (SBIR) Program_x000D_
_x000D_
To get information about these programs and others, please visit thecross-cutting and NSF-wide active funding opportunitiessearch page.
_x000D_
NSF's mission calls for the broadening of opportunities for and expanding participation of groups, institutions and geographic regions that are underrepresented in STEM disciplines, which is essential to the health and vitality of science and engineering. NSF is committed to this principle of diversity and deems it central to the programs, projects and activities it considers and supports.
_x000D_
NSF is also committed to public access to publications and data, unless there are countervailing interests that prohibit or limit public access to data, including matters of personally identifiable information of research participants, privacy or other issues of vulnerability such as economic, social or other security interests, etc.). SeePublic Access to Results of NSF-Funded ResearchandData Management for NSF SBE Directorate Proposals and Awards for more information.</t>
  </si>
  <si>
    <t>Linguistics</t>
  </si>
  <si>
    <t>The Linguistics Program supports basic science in the domain of human language, encompassing investigations of the grammatical properties of individual human languages, and of natural language in general. Research areas include syntax, semantics, morphology, phonetics and phonology.
_x000D_
The program encourages projects that are interdisciplinary in methodological or theoretical perspective, and that address questions that cross disciplinary boundaries, such as (but not limited to):
_x000D_
_x000D_
What are the psychological processes involved in the production, perception, and comprehension of language?_x000D_
What are the computational properties of language and/or the language processor that make fluent production, incremental comprehension or rapid learning possible?_x000D_
How do the acoustic and physiological properties of speech inform our theories of natural language and/or language processing?_x000D_
What role does human neurobiology play in shaping the various grammatical properties of language?_x000D_
How does language develop in natural learning contexts across the life-span?_x000D_
What social and cultural factors underlie language variation and change?_x000D_
_x000D_
Because NSF's mandate is to support basic research, the Linguistics Program does not fund research that takes as its primary goal improved clinical practice or applied policy, nor does it support work to develop or assess pedagogical methods or tools for language instruction.
_x000D_
The Linguistics Program accepts proposals for a variety of project types: research proposals from scholars with PhDs or equivalent degrees, proposals for Doctoral Dissertation Research Improvement (LING-DDRI) awards, and CAREER proposals. We will also consider proposals for conferences. Funding requests for conference support should be submitted in accordance with the Conference Proposals section of Chapter II of NSF's Proposal   Award Policies   Procedures Guide (PAPPG).
_x000D_
NSF's Division of Behavioral and Cognitive Sciences (BCS), in partnership with the National Endowment for the Humanities and in collaboration with programs in other NSF Directorates, supports efforts to develop and advance knowledge and infrastructure that will enable the analysis of languages that are both understudied and at risk of falling out of use. In recognition of the critical relevance of these languages to understanding the range and limits of human linguistic and cultural variation, BCS accepts research and dissertation proposals in response to solicitations NSF Dynamic Language Infrastructure - NEH Documenting Endangered Languages (DLI-DEL) and Dynamic Language Infrastructure - Doctoral Dissertation Research Improvement Grants (DLI-DDRI).
_x000D_
For more information about Multidisciplinary Research and Training Opportunities, please visit the SBE Office of Multidisciplinary Activities web site.</t>
  </si>
  <si>
    <t>Perception, Action   Cognition</t>
  </si>
  <si>
    <t>The aim of the PAC program is to support empirically grounded, theoretically engaged and methodologically sophisticated research in a wide range of topic areas related to human perceptual, motor, and cognitive processes and their interactions. The PAC program welcomes a wide range of perspectives and a variety of methodologies (including computational modeling if the goal is to expand explanatory theories of human perception, action, or cognition). PAC strongly encourages proposals that examine human behavior in realistic (or real-world) scenarios, with more inclusive subject populations than have been used historically. It is expected that knowledge gained from PAC-supported projects will have a clear and direct path towards benefitting society. PAC is open to co-review of proposals submitted to other programs both within the Social, Behavioral, and Economic Sciences Directorate and across other directorates.
_x000D_
Note: Proposals may be returned without review if the primary goal of the research is to understand (1) structure/function mappings between PAC processes and neural activity; (2) clinical populations per se; or (3) behavior of non-human animals without a clear and direct impact on our understanding of human perception, action or cognition. Before submitting a proposal, investigators are encouraged to email sbe-pac@nsf.gov with a one-page summary of the proposed research (modeled after the Project Summary page of a standard proposal and including a description of both Intellectual Merit and Broader Impacts) in order to confirm appropriateness of the work for the PAC program.
_x000D_
PIs are strongly encouraged to submit the Single Copy Document titled  List of Suggested Reviewers  with their full proposal. Sharing of data and other materials is an expectation for funded research. Please consult the NSFDear Colleague Letter: Effective Practices for Data for more details.
_x000D_
Interested in talking with a program director? Send a one-page description of the proposed research to sbe-pac@nsf.gov.</t>
  </si>
  <si>
    <t>Alternative Development Program</t>
  </si>
  <si>
    <t xml:space="preserve">The United States Government, represented by the United States Agency for International Development (USAID), anticipates issuing a request for applications to implement an Alternative Development Program to increase licit and commercially viable agricultural-based alternatives for rural Afghans with the goal of significantly reducing and ultimately eradicating poppy production throughout Afghanistan.  Subject to the availability of funds, this competitively awarded five year Cooperative Agreement shall focus across those provinces within the north, east and west of Afghanistan where poppy eradication has been showing success, security issues are comparatively reduced and opportunities are most abundant. Examples of current priority provinces are Nangarhar, Nuristan, Kunar and Laghman, Badakhshan, and Takhar.   _x000D_
  _x000D_
The Agreement shall be outcomes based focused on results.  Applicants shall compete with proposed solutions that meet the requirements of the RFA and are tailored to an optimal technical / business approach.  The goal is to contribute to the creation of full and part-time and year-round and seasonal jobs, increased sales, strengthened associations, increased exports and improved access to services to promote licit economic growth and positive alternatives to the illicit economy for farmers and non-farmers alike.  The ApplicantÂ’s proposal shall directly link to the Afghanistan National Development Strategy (ANDS).  Applicants should consider revenue generation and cost recovery, anti-corruption, gender, Â“AfghanizationÂ” (increased use of Afghan staff and local firms and NGOs, local project ownership, local sourcing of other goods and services, etc.) and local governance as important cross-cutting issues that must be included in all programmatic elements_x000D_
 _x000D_
USAID will advise applicants of project objectives and desired outcome, but will not specify specific requirements or methodology. Applicants will have the opportunity to propose innovative, cost effective solutions for the Program. This solicitation will be accomplished using full and open competition and all interested parties are invited to apply. USAID especially encourages Afghan and/or regional contractors to consider this opportunity alone or in partnership with other organizations._x000D_
 _x000D_
Applicants are expected to provide a Program Description (PD), Performance Metrics &amp; Measurement Plan and, a Quality Assurance Surveillance Plan (QASP) as part of the application package. Prevailing regulations do not allow Applicants to propose monetary incentives; however, Applicants may propose other innovative approaches to create incentives for program success. _x000D_
</t>
  </si>
  <si>
    <t>Southeast Region Flex Funds</t>
  </si>
  <si>
    <t>DOI-FWS-REG4</t>
  </si>
  <si>
    <t>Region 4</t>
  </si>
  <si>
    <t xml:space="preserve">Unrestricted (i.e., open to any type of entity above), subject to any clarification in text field entitled "Additional Information on Eligibility" Applicants should have a demonstrated knowledge and understanding of the biology and conservation needs of endangered, threatened, candidate, and species of conservation interest to the U.S. Fish and Wildlife Service in the southeastern U.S., Puerto Rico, and the U.S. Virgin Islands. </t>
  </si>
  <si>
    <t>The Endangered Species Program of the Southeast Region provides financial assistance on a competitive baiss to educators, researchers, non-federal agencies, private businesses, individuals and other partners interested in the conservation and recovery of endangered, threatened, candidate, and/or species of conservation interest.</t>
  </si>
  <si>
    <t>Community Assistance Program State Support Services</t>
  </si>
  <si>
    <t xml:space="preserve">Others (see text field entitled "Additional Information on Eligibility" for clarification) FEMA Regional Offices in conjunction with FEMA Headquarters award funding to eligible States. The grant agreement is the administrative and funding mechanism which ensures FEMA with a single method of delivering Federal financial assistance to States. Under CFR 60.25, Governors have exercised their prerogative of designating a  State Coordinating Agency  that is best able to carry out the flood loss reduction activities of the NFIP. </t>
  </si>
  <si>
    <t>There is a 25 percent non-federal match for all States receiving CAP-SSSE funds.  As long as CAP-SSSE continues and a State maintains skill capability and meets performance goals, a State should expect to receive funding.  However, annual State funding levels may vary depending on needs, capability, performance, FEMA priorities, and the availability of funds.</t>
  </si>
  <si>
    <t xml:space="preserve">Developing Country Collaborations in Plant Genome Research (DCC-PGR) </t>
  </si>
  <si>
    <t xml:space="preserve">Unrestricted (i.e., open to any type of entity above), subject to any clarification in text field entitled "Additional Information on Eligibility" All currently active PGRP awardees are eligible to apply for a supplement under this Dear Colleague Letter. Scientists at institutions from </t>
  </si>
  <si>
    <t>This letter is to call your attention to a new activity that will support research collaboration between US scientists and scientists in developing countries as part of ongoing or new Plant Genome Research Program awards.  The Developing Country Collaborations in Plant Genome Research (DCC-PGR) is an addendum to the NSF Program Solicitation, NSF 04-510, Plant Genome Research Program (PGRP) (http://www.nsf.gov/pubsys/ods/getpub.cfm?nsf04510). The intent of DCC-PGR awards is to support collaborative research linking US researchers with partners from developing countries to solve problems of mutual interest in agriculture, energy and the environment, while placing US and international researchers at the center of a global network of scientific excellence. The long-term goal of these collaborative research efforts is a greater and sustained engagement with developing countries in plant biotechnology research. In order to realize the full potential of biotechnology for the developing world, the technology must target crops grown locally in the developing countries and the traits that are most relevant to the local farmers and consumers. At the same time, proposals should meet the broad goals of the PGRP described in the current Program Solicitation.  Of special interest are those research projects that build on prior PGRP investments and that tackle problems specific to crops grown in the developing world. A request for supplemental funding should be made under an existing PGRP award.  Support can also be requested within a proposal for a new or renewal PGRP award.  Proposed collaborative activities are encouraged that focus on research problems important to developing countries and that include scientist-to-scientist interactions potentially leading to long-term partnerships among participating laboratories. The exchange of ideas and people should be reciprocal and should be built on equal partnerships among U.S. scientists and scientists of developing nations.  Examples of activities to be supported would include, but not be limited to: joint research projects; and long-term (1 year) or short-term (1-3 months) exchange visits that are reciprocal exchanges of investigators and students between the US and developing countries. Collaborations should be developed that bring complementary sets of expertise to bear on problems of importance to the participants from developing countries, and that meet their identified needs.</t>
  </si>
  <si>
    <t>ID</t>
  </si>
  <si>
    <t>Title</t>
  </si>
  <si>
    <t>Agency Code</t>
  </si>
  <si>
    <t>Agency</t>
  </si>
  <si>
    <t>Close Date</t>
  </si>
  <si>
    <t>Amount Ceil</t>
  </si>
  <si>
    <t>Amount Floor</t>
  </si>
  <si>
    <t># Awards</t>
  </si>
  <si>
    <t>Eligibility</t>
  </si>
  <si>
    <t>Description</t>
  </si>
  <si>
    <t>All Federal Fund Opportunities Available in Three Months (as of May 1st,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</si>
</sst>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6"/>
      <color indexed="8"/>
      <name val="Calibri"/>
      <family val="2"/>
    </font>
    <font>
      <sz val="14"/>
      <color indexed="9"/>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0" fontId="18" fillId="0" borderId="10" xfId="0" applyFont="1" applyBorder="1" applyAlignment="1">
      <alignment vertical="center"/>
    </xf>
    <xf numFmtId="44" fontId="18" fillId="0" borderId="10" xfId="1" applyFont="1" applyBorder="1" applyAlignment="1">
      <alignment vertical="center"/>
    </xf>
    <xf numFmtId="0" fontId="18" fillId="0" borderId="10" xfId="0" applyFont="1" applyBorder="1" applyAlignment="1">
      <alignment horizontal="left" vertical="center"/>
    </xf>
    <xf numFmtId="0" fontId="19" fillId="33" borderId="10" xfId="0" applyFont="1" applyFill="1" applyBorder="1" applyAlignment="1">
      <alignment horizontal="left" vertical="center" wrapText="1"/>
    </xf>
    <xf numFmtId="44" fontId="19" fillId="33" borderId="10" xfId="1" applyFont="1" applyFill="1" applyBorder="1" applyAlignment="1">
      <alignment horizontal="lef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44" fontId="0" fillId="0" borderId="10" xfId="1" applyFont="1" applyBorder="1" applyAlignment="1">
      <alignment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0"/>
  <sheetViews>
    <sheetView tabSelected="1" workbookViewId="0">
      <selection activeCell="H3" sqref="H3"/>
    </sheetView>
  </sheetViews>
  <sheetFormatPr defaultRowHeight="15" x14ac:dyDescent="0.25"/>
  <cols>
    <col min="1" max="1" width="19.7109375" style="6" customWidth="1"/>
    <col min="2" max="2" width="15.140625" style="6" customWidth="1"/>
    <col min="3" max="3" width="15.7109375" style="6" customWidth="1"/>
    <col min="4" max="4" width="22.5703125" style="6" customWidth="1"/>
    <col min="5" max="5" width="14" style="6" customWidth="1"/>
    <col min="6" max="7" width="21.140625" style="8" customWidth="1"/>
    <col min="8" max="8" width="14.28515625" style="6" customWidth="1"/>
    <col min="9" max="10" width="44.140625" style="6" customWidth="1"/>
    <col min="11" max="16384" width="9.140625" style="6"/>
  </cols>
  <sheetData>
    <row r="1" spans="1:10" s="3" customFormat="1" ht="30.75" customHeight="1" x14ac:dyDescent="0.25">
      <c r="A1" s="1" t="s">
        <v>3070</v>
      </c>
      <c r="B1" s="1"/>
      <c r="C1" s="1"/>
      <c r="D1" s="1"/>
      <c r="E1" s="1"/>
      <c r="F1" s="2"/>
      <c r="G1" s="2"/>
    </row>
    <row r="2" spans="1:10" s="4" customFormat="1" ht="20.45" customHeight="1" x14ac:dyDescent="0.25">
      <c r="A2" s="4" t="s">
        <v>3060</v>
      </c>
      <c r="B2" s="4" t="s">
        <v>3061</v>
      </c>
      <c r="C2" s="4" t="s">
        <v>3062</v>
      </c>
      <c r="D2" s="4" t="s">
        <v>3063</v>
      </c>
      <c r="E2" s="4" t="s">
        <v>3064</v>
      </c>
      <c r="F2" s="5" t="s">
        <v>3065</v>
      </c>
      <c r="G2" s="5" t="s">
        <v>3066</v>
      </c>
      <c r="H2" s="4" t="s">
        <v>3067</v>
      </c>
      <c r="I2" s="4" t="s">
        <v>3068</v>
      </c>
      <c r="J2" s="4" t="s">
        <v>3069</v>
      </c>
    </row>
    <row r="3" spans="1:10" ht="409.5" x14ac:dyDescent="0.25">
      <c r="A3" s="6" t="str">
        <f>HYPERLINK("https://grants.gov/search-results-detail/352057","DHS-24-TTP-132-00-99")</f>
        <v>DHS-24-TTP-132-00-99</v>
      </c>
      <c r="B3" s="6" t="s">
        <v>1953</v>
      </c>
      <c r="C3" s="6" t="s">
        <v>591</v>
      </c>
      <c r="D3" s="6" t="s">
        <v>592</v>
      </c>
      <c r="E3" s="7">
        <v>45429</v>
      </c>
      <c r="F3" s="8">
        <v>1500000</v>
      </c>
      <c r="G3" s="8">
        <v>50000</v>
      </c>
      <c r="H3" s="6">
        <v>33</v>
      </c>
      <c r="I3" s="6" t="s">
        <v>1954</v>
      </c>
      <c r="J3" s="6" t="s">
        <v>1955</v>
      </c>
    </row>
    <row r="4" spans="1:10" ht="409.5" x14ac:dyDescent="0.25">
      <c r="A4" s="6" t="str">
        <f>HYPERLINK("https://grants.gov/search-results-detail/351552","DHS-24-STORM-139-00-01")</f>
        <v>DHS-24-STORM-139-00-01</v>
      </c>
      <c r="B4" s="6" t="s">
        <v>2036</v>
      </c>
      <c r="C4" s="6" t="s">
        <v>591</v>
      </c>
      <c r="D4" s="6" t="s">
        <v>592</v>
      </c>
      <c r="E4" s="7">
        <v>45442</v>
      </c>
      <c r="F4" s="8">
        <v>150000000</v>
      </c>
      <c r="G4" s="8">
        <v>5100000</v>
      </c>
      <c r="H4" s="6">
        <v>10</v>
      </c>
      <c r="I4" s="6" t="s">
        <v>2037</v>
      </c>
      <c r="J4" s="6" t="s">
        <v>2038</v>
      </c>
    </row>
    <row r="5" spans="1:10" ht="409.5" x14ac:dyDescent="0.25">
      <c r="A5" s="6" t="str">
        <f>HYPERLINK("https://grants.gov/search-results-detail/353514","DHS-24-GPD-141-00-99")</f>
        <v>DHS-24-GPD-141-00-99</v>
      </c>
      <c r="B5" s="6" t="s">
        <v>692</v>
      </c>
      <c r="C5" s="6" t="s">
        <v>591</v>
      </c>
      <c r="D5" s="6" t="s">
        <v>592</v>
      </c>
      <c r="E5" s="7">
        <v>45456</v>
      </c>
      <c r="F5" s="8">
        <v>34090000</v>
      </c>
      <c r="G5" s="8">
        <v>10000</v>
      </c>
      <c r="I5" s="6" t="s">
        <v>693</v>
      </c>
      <c r="J5" s="6" t="s">
        <v>694</v>
      </c>
    </row>
    <row r="6" spans="1:10" ht="409.5" x14ac:dyDescent="0.25">
      <c r="A6" s="6" t="str">
        <f>HYPERLINK("https://grants.gov/search-results-detail/353551","DHS-24-GPD-067-00-98")</f>
        <v>DHS-24-GPD-067-00-98</v>
      </c>
      <c r="B6" s="6" t="s">
        <v>590</v>
      </c>
      <c r="C6" s="6" t="s">
        <v>591</v>
      </c>
      <c r="D6" s="6" t="s">
        <v>592</v>
      </c>
      <c r="E6" s="7">
        <v>45467</v>
      </c>
      <c r="F6" s="8">
        <v>1008000000</v>
      </c>
      <c r="G6" s="8">
        <v>0</v>
      </c>
      <c r="H6" s="6">
        <v>56</v>
      </c>
      <c r="I6" s="6" t="s">
        <v>593</v>
      </c>
      <c r="J6" s="6" t="s">
        <v>594</v>
      </c>
    </row>
    <row r="7" spans="1:10" ht="195" x14ac:dyDescent="0.25">
      <c r="A7" s="6" t="str">
        <f>HYPERLINK("https://grants.gov/search-results-detail/353549","DHS-24-GPD-042-01-99")</f>
        <v>DHS-24-GPD-042-01-99</v>
      </c>
      <c r="B7" s="6" t="s">
        <v>609</v>
      </c>
      <c r="C7" s="6" t="s">
        <v>591</v>
      </c>
      <c r="D7" s="6" t="s">
        <v>592</v>
      </c>
      <c r="E7" s="7">
        <v>45467</v>
      </c>
      <c r="F7" s="8">
        <v>319500000</v>
      </c>
      <c r="G7" s="8">
        <v>0</v>
      </c>
      <c r="I7" s="6" t="s">
        <v>610</v>
      </c>
      <c r="J7" s="6" t="s">
        <v>611</v>
      </c>
    </row>
    <row r="8" spans="1:10" ht="409.5" x14ac:dyDescent="0.25">
      <c r="A8" s="6" t="str">
        <f>HYPERLINK("https://grants.gov/search-results-detail/353556","DHS-24-GPD-075-00-98")</f>
        <v>DHS-24-GPD-075-00-98</v>
      </c>
      <c r="B8" s="6" t="s">
        <v>615</v>
      </c>
      <c r="C8" s="6" t="s">
        <v>591</v>
      </c>
      <c r="D8" s="6" t="s">
        <v>592</v>
      </c>
      <c r="E8" s="7">
        <v>45467</v>
      </c>
      <c r="F8" s="8">
        <v>9000000</v>
      </c>
      <c r="G8" s="8">
        <v>0</v>
      </c>
      <c r="H8" s="6">
        <v>1</v>
      </c>
      <c r="I8" s="6" t="s">
        <v>616</v>
      </c>
      <c r="J8" s="6" t="s">
        <v>617</v>
      </c>
    </row>
    <row r="9" spans="1:10" ht="409.5" x14ac:dyDescent="0.25">
      <c r="A9" s="6" t="str">
        <f>HYPERLINK("https://grants.gov/search-results-detail/353550","DHS-24-GPD-008-00-99")</f>
        <v>DHS-24-GPD-008-00-99</v>
      </c>
      <c r="B9" s="6" t="s">
        <v>623</v>
      </c>
      <c r="C9" s="6" t="s">
        <v>591</v>
      </c>
      <c r="D9" s="6" t="s">
        <v>592</v>
      </c>
      <c r="E9" s="7">
        <v>45467</v>
      </c>
      <c r="F9" s="8">
        <v>274500000</v>
      </c>
      <c r="G9" s="8">
        <v>0</v>
      </c>
      <c r="H9" s="6">
        <v>56</v>
      </c>
      <c r="I9" s="6" t="s">
        <v>593</v>
      </c>
      <c r="J9" s="6" t="s">
        <v>624</v>
      </c>
    </row>
    <row r="10" spans="1:10" ht="180" x14ac:dyDescent="0.25">
      <c r="A10" s="6" t="str">
        <f>HYPERLINK("https://grants.gov/search-results-detail/40112","DHS-FEMACAPSSSE-08-001")</f>
        <v>DHS-FEMACAPSSSE-08-001</v>
      </c>
      <c r="B10" s="6" t="s">
        <v>3054</v>
      </c>
      <c r="C10" s="6" t="s">
        <v>591</v>
      </c>
      <c r="D10" s="6" t="s">
        <v>592</v>
      </c>
      <c r="F10" s="8">
        <v>7500000</v>
      </c>
      <c r="G10" s="8">
        <v>0</v>
      </c>
      <c r="H10" s="6">
        <v>52</v>
      </c>
      <c r="I10" s="6" t="s">
        <v>3055</v>
      </c>
      <c r="J10" s="6" t="s">
        <v>3056</v>
      </c>
    </row>
    <row r="11" spans="1:10" ht="180" x14ac:dyDescent="0.25">
      <c r="A11" s="6" t="str">
        <f>HYPERLINK("https://grants.gov/search-results-detail/40113","DHS-FEMACAPSSSE-08-001")</f>
        <v>DHS-FEMACAPSSSE-08-001</v>
      </c>
      <c r="B11" s="6" t="s">
        <v>3054</v>
      </c>
      <c r="C11" s="6" t="s">
        <v>591</v>
      </c>
      <c r="D11" s="6" t="s">
        <v>592</v>
      </c>
      <c r="F11" s="8">
        <v>7500000</v>
      </c>
      <c r="G11" s="8">
        <v>0</v>
      </c>
      <c r="H11" s="6">
        <v>52</v>
      </c>
      <c r="I11" s="6" t="s">
        <v>3055</v>
      </c>
      <c r="J11" s="6" t="s">
        <v>3056</v>
      </c>
    </row>
    <row r="12" spans="1:10" ht="409.5" x14ac:dyDescent="0.25">
      <c r="A12" s="6" t="str">
        <f>HYPERLINK("https://grants.gov/search-results-detail/348992","DHS-23-061-COE-SUPP")</f>
        <v>DHS-23-061-COE-SUPP</v>
      </c>
      <c r="B12" s="6" t="s">
        <v>2244</v>
      </c>
      <c r="C12" s="6" t="s">
        <v>272</v>
      </c>
      <c r="D12" s="6" t="s">
        <v>273</v>
      </c>
      <c r="E12" s="7">
        <v>45436</v>
      </c>
      <c r="F12" s="8">
        <v>20000000</v>
      </c>
      <c r="G12" s="8">
        <v>0</v>
      </c>
      <c r="I12" s="6" t="s">
        <v>2245</v>
      </c>
      <c r="J12" s="6" t="s">
        <v>2246</v>
      </c>
    </row>
    <row r="13" spans="1:10" ht="409.5" x14ac:dyDescent="0.25">
      <c r="A13" s="6" t="str">
        <f>HYPERLINK("https://grants.gov/search-results-detail/353733","DHS-24-CIS-010-002")</f>
        <v>DHS-24-CIS-010-002</v>
      </c>
      <c r="B13" s="6" t="s">
        <v>271</v>
      </c>
      <c r="C13" s="6" t="s">
        <v>272</v>
      </c>
      <c r="D13" s="6" t="s">
        <v>273</v>
      </c>
      <c r="E13" s="7">
        <v>45464</v>
      </c>
      <c r="F13" s="8">
        <v>300000</v>
      </c>
      <c r="G13" s="8">
        <v>150000</v>
      </c>
      <c r="H13" s="6">
        <v>40</v>
      </c>
      <c r="I13" s="6" t="s">
        <v>274</v>
      </c>
      <c r="J13" s="6" t="s">
        <v>275</v>
      </c>
    </row>
    <row r="14" spans="1:10" ht="409.5" x14ac:dyDescent="0.25">
      <c r="A14" s="6" t="str">
        <f>HYPERLINK("https://grants.gov/search-results-detail/334079","EDA-HDQ-RNTA-2021")</f>
        <v>EDA-HDQ-RNTA-2021</v>
      </c>
      <c r="B14" s="6" t="s">
        <v>2652</v>
      </c>
      <c r="C14" s="6" t="s">
        <v>2653</v>
      </c>
      <c r="D14" s="6" t="s">
        <v>2654</v>
      </c>
      <c r="F14" s="8">
        <v>1500000</v>
      </c>
      <c r="G14" s="8">
        <v>1</v>
      </c>
      <c r="H14" s="6">
        <v>15</v>
      </c>
      <c r="I14" s="6" t="s">
        <v>2655</v>
      </c>
      <c r="J14" s="6" t="s">
        <v>2656</v>
      </c>
    </row>
    <row r="15" spans="1:10" ht="409.5" x14ac:dyDescent="0.25">
      <c r="A15" s="6" t="str">
        <f>HYPERLINK("https://grants.gov/search-results-detail/332138","EDA-PHI-TA-PRO-2021-2006851")</f>
        <v>EDA-PHI-TA-PRO-2021-2006851</v>
      </c>
      <c r="B15" s="6" t="s">
        <v>2675</v>
      </c>
      <c r="C15" s="6" t="s">
        <v>2653</v>
      </c>
      <c r="D15" s="6" t="s">
        <v>2654</v>
      </c>
      <c r="F15" s="8">
        <v>300000</v>
      </c>
      <c r="G15" s="8">
        <v>0</v>
      </c>
      <c r="I15" s="6" t="s">
        <v>2676</v>
      </c>
      <c r="J15" s="6" t="s">
        <v>2677</v>
      </c>
    </row>
    <row r="16" spans="1:10" ht="409.5" x14ac:dyDescent="0.25">
      <c r="A16" s="6" t="str">
        <f>HYPERLINK("https://grants.gov/search-results-detail/332052","EDA-ATL-TA-ATRO-2021-2006846")</f>
        <v>EDA-ATL-TA-ATRO-2021-2006846</v>
      </c>
      <c r="B16" s="6" t="s">
        <v>2678</v>
      </c>
      <c r="C16" s="6" t="s">
        <v>2653</v>
      </c>
      <c r="D16" s="6" t="s">
        <v>2654</v>
      </c>
      <c r="F16" s="8">
        <v>300000</v>
      </c>
      <c r="G16" s="8">
        <v>0</v>
      </c>
      <c r="I16" s="6" t="s">
        <v>2679</v>
      </c>
      <c r="J16" s="6" t="s">
        <v>2680</v>
      </c>
    </row>
    <row r="17" spans="1:10" ht="409.5" x14ac:dyDescent="0.25">
      <c r="A17" s="6" t="str">
        <f>HYPERLINK("https://grants.gov/search-results-detail/332137","EDA-AUS-TA-AURO-2021-2006848")</f>
        <v>EDA-AUS-TA-AURO-2021-2006848</v>
      </c>
      <c r="B17" s="6" t="s">
        <v>2681</v>
      </c>
      <c r="C17" s="6" t="s">
        <v>2653</v>
      </c>
      <c r="D17" s="6" t="s">
        <v>2654</v>
      </c>
      <c r="F17" s="8">
        <v>300000</v>
      </c>
      <c r="G17" s="8">
        <v>0</v>
      </c>
      <c r="I17" s="6" t="s">
        <v>2682</v>
      </c>
      <c r="J17" s="6" t="s">
        <v>2683</v>
      </c>
    </row>
    <row r="18" spans="1:10" ht="409.5" x14ac:dyDescent="0.25">
      <c r="A18" s="6" t="str">
        <f>HYPERLINK("https://grants.gov/search-results-detail/332125","EDA-CHI-TA-CRO-2021-2006849")</f>
        <v>EDA-CHI-TA-CRO-2021-2006849</v>
      </c>
      <c r="B18" s="6" t="s">
        <v>2684</v>
      </c>
      <c r="C18" s="6" t="s">
        <v>2653</v>
      </c>
      <c r="D18" s="6" t="s">
        <v>2654</v>
      </c>
      <c r="F18" s="8">
        <v>300000</v>
      </c>
      <c r="G18" s="8">
        <v>0</v>
      </c>
      <c r="I18" s="6" t="s">
        <v>2685</v>
      </c>
      <c r="J18" s="6" t="s">
        <v>2683</v>
      </c>
    </row>
    <row r="19" spans="1:10" ht="409.5" x14ac:dyDescent="0.25">
      <c r="A19" s="6" t="str">
        <f>HYPERLINK("https://grants.gov/search-results-detail/332126","EDA-DEN-TA-DRO-2021-2006850")</f>
        <v>EDA-DEN-TA-DRO-2021-2006850</v>
      </c>
      <c r="B19" s="6" t="s">
        <v>2686</v>
      </c>
      <c r="C19" s="6" t="s">
        <v>2653</v>
      </c>
      <c r="D19" s="6" t="s">
        <v>2654</v>
      </c>
      <c r="F19" s="8">
        <v>300000</v>
      </c>
      <c r="G19" s="8">
        <v>0</v>
      </c>
      <c r="I19" s="6" t="s">
        <v>2679</v>
      </c>
      <c r="J19" s="6" t="s">
        <v>2687</v>
      </c>
    </row>
    <row r="20" spans="1:10" ht="409.5" x14ac:dyDescent="0.25">
      <c r="A20" s="6" t="str">
        <f>HYPERLINK("https://grants.gov/search-results-detail/332127","EDA-SEA-TA-SRO-2021-2006853")</f>
        <v>EDA-SEA-TA-SRO-2021-2006853</v>
      </c>
      <c r="B20" s="6" t="s">
        <v>2688</v>
      </c>
      <c r="C20" s="6" t="s">
        <v>2653</v>
      </c>
      <c r="D20" s="6" t="s">
        <v>2654</v>
      </c>
      <c r="F20" s="8">
        <v>300000</v>
      </c>
      <c r="G20" s="8">
        <v>0</v>
      </c>
      <c r="I20" s="6" t="s">
        <v>2676</v>
      </c>
      <c r="J20" s="6" t="s">
        <v>2683</v>
      </c>
    </row>
    <row r="21" spans="1:10" ht="409.5" x14ac:dyDescent="0.25">
      <c r="A21" s="6" t="str">
        <f>HYPERLINK("https://grants.gov/search-results-detail/301960","EDA-CHI-TA-CRO-2018-2005548")</f>
        <v>EDA-CHI-TA-CRO-2018-2005548</v>
      </c>
      <c r="B21" s="6" t="s">
        <v>2849</v>
      </c>
      <c r="C21" s="6" t="s">
        <v>2653</v>
      </c>
      <c r="D21" s="6" t="s">
        <v>2654</v>
      </c>
      <c r="F21" s="8">
        <v>300000</v>
      </c>
      <c r="G21" s="8">
        <v>0</v>
      </c>
      <c r="I21" s="6" t="s">
        <v>2850</v>
      </c>
      <c r="J21" s="6" t="s">
        <v>2851</v>
      </c>
    </row>
    <row r="22" spans="1:10" ht="409.5" x14ac:dyDescent="0.25">
      <c r="A22" s="6" t="str">
        <f>HYPERLINK("https://grants.gov/search-results-detail/301936","EDA-PHI-TA-PRO-2018-2005550")</f>
        <v>EDA-PHI-TA-PRO-2018-2005550</v>
      </c>
      <c r="B22" s="6" t="s">
        <v>2852</v>
      </c>
      <c r="C22" s="6" t="s">
        <v>2653</v>
      </c>
      <c r="D22" s="6" t="s">
        <v>2654</v>
      </c>
      <c r="F22" s="8">
        <v>300000</v>
      </c>
      <c r="G22" s="8">
        <v>0</v>
      </c>
      <c r="I22" s="6" t="s">
        <v>2682</v>
      </c>
      <c r="J22" s="6" t="s">
        <v>2851</v>
      </c>
    </row>
    <row r="23" spans="1:10" ht="409.5" x14ac:dyDescent="0.25">
      <c r="A23" s="6" t="str">
        <f>HYPERLINK("https://grants.gov/search-results-detail/301962","EDA-SEA-TA-SRO-2018-2005551")</f>
        <v>EDA-SEA-TA-SRO-2018-2005551</v>
      </c>
      <c r="B23" s="6" t="s">
        <v>2853</v>
      </c>
      <c r="C23" s="6" t="s">
        <v>2653</v>
      </c>
      <c r="D23" s="6" t="s">
        <v>2654</v>
      </c>
      <c r="F23" s="8">
        <v>300000</v>
      </c>
      <c r="G23" s="8">
        <v>0</v>
      </c>
      <c r="I23" s="6" t="s">
        <v>2850</v>
      </c>
      <c r="J23" s="6" t="s">
        <v>2851</v>
      </c>
    </row>
    <row r="24" spans="1:10" ht="409.5" x14ac:dyDescent="0.25">
      <c r="A24" s="6" t="str">
        <f>HYPERLINK("https://grants.gov/search-results-detail/301959","EDA-AUS-PL-AURO-2018-2005546")</f>
        <v>EDA-AUS-PL-AURO-2018-2005546</v>
      </c>
      <c r="B24" s="6" t="s">
        <v>2854</v>
      </c>
      <c r="C24" s="6" t="s">
        <v>2653</v>
      </c>
      <c r="D24" s="6" t="s">
        <v>2654</v>
      </c>
      <c r="F24" s="8">
        <v>300000</v>
      </c>
      <c r="G24" s="8">
        <v>0</v>
      </c>
      <c r="I24" s="6" t="s">
        <v>2679</v>
      </c>
      <c r="J24" s="6" t="s">
        <v>2851</v>
      </c>
    </row>
    <row r="25" spans="1:10" ht="409.5" x14ac:dyDescent="0.25">
      <c r="A25" s="6" t="str">
        <f>HYPERLINK("https://grants.gov/search-results-detail/301958","EDA-ATL-TA-ATRO-2018-2005539")</f>
        <v>EDA-ATL-TA-ATRO-2018-2005539</v>
      </c>
      <c r="B25" s="6" t="s">
        <v>2855</v>
      </c>
      <c r="C25" s="6" t="s">
        <v>2653</v>
      </c>
      <c r="D25" s="6" t="s">
        <v>2654</v>
      </c>
      <c r="F25" s="8">
        <v>300000</v>
      </c>
      <c r="G25" s="8">
        <v>0</v>
      </c>
      <c r="I25" s="6" t="s">
        <v>2850</v>
      </c>
      <c r="J25" s="6" t="s">
        <v>2851</v>
      </c>
    </row>
    <row r="26" spans="1:10" ht="409.5" x14ac:dyDescent="0.25">
      <c r="A26" s="6" t="str">
        <f>HYPERLINK("https://grants.gov/search-results-detail/103313","NOAA-OAR-CPO-2012-2003041")</f>
        <v>NOAA-OAR-CPO-2012-2003041</v>
      </c>
      <c r="B26" s="6" t="s">
        <v>3015</v>
      </c>
      <c r="C26" s="6" t="s">
        <v>2653</v>
      </c>
      <c r="D26" s="6" t="s">
        <v>2654</v>
      </c>
      <c r="F26" s="8" t="s">
        <v>18</v>
      </c>
      <c r="G26" s="8" t="s">
        <v>18</v>
      </c>
      <c r="H26" s="6">
        <v>60</v>
      </c>
      <c r="I26" s="6" t="s">
        <v>3016</v>
      </c>
      <c r="J26" s="6" t="s">
        <v>3017</v>
      </c>
    </row>
    <row r="27" spans="1:10" ht="409.5" x14ac:dyDescent="0.25">
      <c r="A27" s="6" t="str">
        <f>HYPERLINK("https://grants.gov/search-results-detail/347414","EDA-DISASTER-2023")</f>
        <v>EDA-DISASTER-2023</v>
      </c>
      <c r="B27" s="6" t="s">
        <v>2317</v>
      </c>
      <c r="C27" s="6" t="s">
        <v>2318</v>
      </c>
      <c r="D27" s="6" t="s">
        <v>2319</v>
      </c>
      <c r="F27" s="8">
        <v>30000000</v>
      </c>
      <c r="G27" s="8">
        <v>0</v>
      </c>
      <c r="H27" s="6">
        <v>150</v>
      </c>
      <c r="I27" s="6" t="s">
        <v>2320</v>
      </c>
      <c r="J27" s="6" t="s">
        <v>2321</v>
      </c>
    </row>
    <row r="28" spans="1:10" ht="409.5" x14ac:dyDescent="0.25">
      <c r="A28" s="6" t="str">
        <f>HYPERLINK("https://grants.gov/search-results-detail/346815","PWEAA2023")</f>
        <v>PWEAA2023</v>
      </c>
      <c r="B28" s="6" t="s">
        <v>2369</v>
      </c>
      <c r="C28" s="6" t="s">
        <v>2318</v>
      </c>
      <c r="D28" s="6" t="s">
        <v>2319</v>
      </c>
      <c r="F28" s="8">
        <v>30000000</v>
      </c>
      <c r="G28" s="8">
        <v>100000</v>
      </c>
      <c r="H28" s="6">
        <v>3000</v>
      </c>
      <c r="I28" s="6" t="s">
        <v>2370</v>
      </c>
      <c r="J28" s="6" t="s">
        <v>2371</v>
      </c>
    </row>
    <row r="29" spans="1:10" ht="240" x14ac:dyDescent="0.25">
      <c r="A29" s="6" t="str">
        <f>HYPERLINK("https://grants.gov/search-results-detail/353143","2024-NIST-RAMPS-01")</f>
        <v>2024-NIST-RAMPS-01</v>
      </c>
      <c r="B29" s="6" t="s">
        <v>1270</v>
      </c>
      <c r="C29" s="6" t="s">
        <v>16</v>
      </c>
      <c r="D29" s="6" t="s">
        <v>17</v>
      </c>
      <c r="E29" s="7">
        <v>45436</v>
      </c>
      <c r="F29" s="8" t="s">
        <v>18</v>
      </c>
      <c r="G29" s="8" t="s">
        <v>18</v>
      </c>
      <c r="I29" s="6" t="s">
        <v>1271</v>
      </c>
      <c r="J29" s="6" t="s">
        <v>1272</v>
      </c>
    </row>
    <row r="30" spans="1:10" ht="409.5" x14ac:dyDescent="0.25">
      <c r="A30" s="6" t="str">
        <f>HYPERLINK("https://grants.gov/search-results-detail/353265","2024-NIST-AFTT-01")</f>
        <v>2024-NIST-AFTT-01</v>
      </c>
      <c r="B30" s="6" t="s">
        <v>1132</v>
      </c>
      <c r="C30" s="6" t="s">
        <v>16</v>
      </c>
      <c r="D30" s="6" t="s">
        <v>17</v>
      </c>
      <c r="E30" s="7">
        <v>45440</v>
      </c>
      <c r="F30" s="8" t="s">
        <v>18</v>
      </c>
      <c r="G30" s="8" t="s">
        <v>18</v>
      </c>
      <c r="H30" s="6">
        <v>1</v>
      </c>
      <c r="I30" s="6" t="s">
        <v>1133</v>
      </c>
      <c r="J30" s="6" t="s">
        <v>1134</v>
      </c>
    </row>
    <row r="31" spans="1:10" ht="240" x14ac:dyDescent="0.25">
      <c r="A31" s="6" t="str">
        <f>HYPERLINK("https://grants.gov/search-results-detail/353288","2024-NIST-SBIR-02")</f>
        <v>2024-NIST-SBIR-02</v>
      </c>
      <c r="B31" s="6" t="s">
        <v>1086</v>
      </c>
      <c r="C31" s="6" t="s">
        <v>16</v>
      </c>
      <c r="D31" s="6" t="s">
        <v>17</v>
      </c>
      <c r="E31" s="7">
        <v>45442</v>
      </c>
      <c r="F31" s="8" t="s">
        <v>18</v>
      </c>
      <c r="G31" s="8" t="s">
        <v>18</v>
      </c>
      <c r="I31" s="6" t="s">
        <v>1087</v>
      </c>
      <c r="J31" s="6" t="s">
        <v>1088</v>
      </c>
    </row>
    <row r="32" spans="1:10" ht="240" x14ac:dyDescent="0.25">
      <c r="A32" s="6" t="str">
        <f>HYPERLINK("https://grants.gov/search-results-detail/353574","2024-SBIR-CHIPS-01")</f>
        <v>2024-SBIR-CHIPS-01</v>
      </c>
      <c r="B32" s="6" t="s">
        <v>566</v>
      </c>
      <c r="C32" s="6" t="s">
        <v>16</v>
      </c>
      <c r="D32" s="6" t="s">
        <v>17</v>
      </c>
      <c r="E32" s="7">
        <v>45457</v>
      </c>
      <c r="F32" s="8" t="s">
        <v>18</v>
      </c>
      <c r="G32" s="8" t="s">
        <v>18</v>
      </c>
      <c r="H32" s="6">
        <v>24</v>
      </c>
      <c r="I32" s="6" t="s">
        <v>567</v>
      </c>
      <c r="J32" s="6" t="s">
        <v>568</v>
      </c>
    </row>
    <row r="33" spans="1:10" ht="345" x14ac:dyDescent="0.25">
      <c r="A33" s="6" t="str">
        <f>HYPERLINK("https://grants.gov/search-results-detail/353619","2024-NIST-HPPR-01")</f>
        <v>2024-NIST-HPPR-01</v>
      </c>
      <c r="B33" s="6" t="s">
        <v>423</v>
      </c>
      <c r="C33" s="6" t="s">
        <v>16</v>
      </c>
      <c r="D33" s="6" t="s">
        <v>17</v>
      </c>
      <c r="E33" s="7">
        <v>45460</v>
      </c>
      <c r="F33" s="8" t="s">
        <v>18</v>
      </c>
      <c r="G33" s="8" t="s">
        <v>18</v>
      </c>
      <c r="I33" s="6" t="s">
        <v>424</v>
      </c>
      <c r="J33" s="6" t="s">
        <v>425</v>
      </c>
    </row>
    <row r="34" spans="1:10" ht="270" x14ac:dyDescent="0.25">
      <c r="A34" s="6" t="str">
        <f>HYPERLINK("https://grants.gov/search-results-detail/353886","2024-NIST-MEP-01")</f>
        <v>2024-NIST-MEP-01</v>
      </c>
      <c r="B34" s="6" t="s">
        <v>15</v>
      </c>
      <c r="C34" s="6" t="s">
        <v>16</v>
      </c>
      <c r="D34" s="6" t="s">
        <v>17</v>
      </c>
      <c r="E34" s="7">
        <v>45474</v>
      </c>
      <c r="F34" s="8" t="s">
        <v>18</v>
      </c>
      <c r="G34" s="8" t="s">
        <v>18</v>
      </c>
      <c r="I34" s="6" t="s">
        <v>19</v>
      </c>
      <c r="J34" s="6" t="s">
        <v>20</v>
      </c>
    </row>
    <row r="35" spans="1:10" ht="180" x14ac:dyDescent="0.25">
      <c r="A35" s="6" t="str">
        <f>HYPERLINK("https://grants.gov/search-results-detail/352662","2024-NIST-CHIPS-NAPMP-01")</f>
        <v>2024-NIST-CHIPS-NAPMP-01</v>
      </c>
      <c r="B35" s="6" t="s">
        <v>1769</v>
      </c>
      <c r="C35" s="6" t="s">
        <v>16</v>
      </c>
      <c r="D35" s="6" t="s">
        <v>17</v>
      </c>
      <c r="E35" s="7">
        <v>45476</v>
      </c>
      <c r="F35" s="8" t="s">
        <v>18</v>
      </c>
      <c r="G35" s="8" t="s">
        <v>18</v>
      </c>
      <c r="I35" s="6" t="s">
        <v>1770</v>
      </c>
      <c r="J35" s="6" t="s">
        <v>1771</v>
      </c>
    </row>
    <row r="36" spans="1:10" ht="285" x14ac:dyDescent="0.25">
      <c r="A36" s="6" t="str">
        <f>HYPERLINK("https://grants.gov/search-results-detail/346349","2023-NIST-CHIPS-CFF-01")</f>
        <v>2023-NIST-CHIPS-CFF-01</v>
      </c>
      <c r="B36" s="6" t="s">
        <v>2390</v>
      </c>
      <c r="C36" s="6" t="s">
        <v>16</v>
      </c>
      <c r="D36" s="6" t="s">
        <v>17</v>
      </c>
      <c r="F36" s="8" t="s">
        <v>18</v>
      </c>
      <c r="G36" s="8" t="s">
        <v>18</v>
      </c>
      <c r="H36" s="6">
        <v>500</v>
      </c>
      <c r="I36" s="6" t="s">
        <v>2391</v>
      </c>
      <c r="J36" s="6" t="s">
        <v>2392</v>
      </c>
    </row>
    <row r="37" spans="1:10" ht="285" x14ac:dyDescent="0.25">
      <c r="A37" s="6" t="str">
        <f>HYPERLINK("https://grants.gov/search-results-detail/330597","2021-NIST-MEP-CAP-01")</f>
        <v>2021-NIST-MEP-CAP-01</v>
      </c>
      <c r="B37" s="6" t="s">
        <v>2710</v>
      </c>
      <c r="C37" s="6" t="s">
        <v>16</v>
      </c>
      <c r="D37" s="6" t="s">
        <v>17</v>
      </c>
      <c r="F37" s="8" t="s">
        <v>18</v>
      </c>
      <c r="G37" s="8" t="s">
        <v>18</v>
      </c>
      <c r="I37" s="6" t="s">
        <v>2711</v>
      </c>
      <c r="J37" s="6" t="s">
        <v>2712</v>
      </c>
    </row>
    <row r="38" spans="1:10" ht="360" x14ac:dyDescent="0.25">
      <c r="A38" s="6" t="str">
        <f>HYPERLINK("https://grants.gov/search-results-detail/323740","2020-NIST-MEP-MDAP-01")</f>
        <v>2020-NIST-MEP-MDAP-01</v>
      </c>
      <c r="B38" s="6" t="s">
        <v>2767</v>
      </c>
      <c r="C38" s="6" t="s">
        <v>16</v>
      </c>
      <c r="D38" s="6" t="s">
        <v>17</v>
      </c>
      <c r="F38" s="8" t="s">
        <v>18</v>
      </c>
      <c r="G38" s="8" t="s">
        <v>18</v>
      </c>
      <c r="I38" s="6" t="s">
        <v>2768</v>
      </c>
      <c r="J38" s="6" t="s">
        <v>2769</v>
      </c>
    </row>
    <row r="39" spans="1:10" ht="360" x14ac:dyDescent="0.25">
      <c r="A39" s="6" t="str">
        <f>HYPERLINK("https://grants.gov/search-results-detail/353292","NTIA-SDECGP-2024")</f>
        <v>NTIA-SDECGP-2024</v>
      </c>
      <c r="B39" s="6" t="s">
        <v>1103</v>
      </c>
      <c r="C39" s="6" t="s">
        <v>1104</v>
      </c>
      <c r="D39" s="6" t="s">
        <v>1105</v>
      </c>
      <c r="F39" s="8" t="s">
        <v>18</v>
      </c>
      <c r="G39" s="8" t="s">
        <v>18</v>
      </c>
      <c r="I39" s="6" t="s">
        <v>1106</v>
      </c>
      <c r="J39" s="6" t="s">
        <v>1107</v>
      </c>
    </row>
    <row r="40" spans="1:10" ht="409.5" x14ac:dyDescent="0.25">
      <c r="A40" s="6" t="str">
        <f>HYPERLINK("https://grants.gov/search-results-detail/353602","W9126G-22-2-SOI-2518")</f>
        <v>W9126G-22-2-SOI-2518</v>
      </c>
      <c r="B40" s="6" t="s">
        <v>467</v>
      </c>
      <c r="C40" s="6" t="s">
        <v>468</v>
      </c>
      <c r="D40" s="6" t="s">
        <v>469</v>
      </c>
      <c r="E40" s="7">
        <v>45429</v>
      </c>
      <c r="F40" s="8">
        <v>3249191</v>
      </c>
      <c r="G40" s="8">
        <v>612000</v>
      </c>
      <c r="H40" s="6">
        <v>1</v>
      </c>
      <c r="I40" s="6" t="s">
        <v>470</v>
      </c>
      <c r="J40" s="6" t="s">
        <v>471</v>
      </c>
    </row>
    <row r="41" spans="1:10" ht="409.5" x14ac:dyDescent="0.25">
      <c r="A41" s="6" t="str">
        <f>HYPERLINK("https://grants.gov/search-results-detail/349325","NSWCDD-24-0001")</f>
        <v>NSWCDD-24-0001</v>
      </c>
      <c r="B41" s="6" t="s">
        <v>2237</v>
      </c>
      <c r="C41" s="6" t="s">
        <v>468</v>
      </c>
      <c r="D41" s="6" t="s">
        <v>469</v>
      </c>
      <c r="E41" s="7">
        <v>45490</v>
      </c>
      <c r="F41" s="8">
        <v>200000</v>
      </c>
      <c r="G41" s="8">
        <v>5000</v>
      </c>
      <c r="I41" s="6" t="s">
        <v>116</v>
      </c>
      <c r="J41" s="6" t="s">
        <v>2238</v>
      </c>
    </row>
    <row r="42" spans="1:10" ht="345" x14ac:dyDescent="0.25">
      <c r="A42" s="6" t="str">
        <f>HYPERLINK("https://grants.gov/search-results-detail/352853","FOAAFRLAFOSR20240005")</f>
        <v>FOAAFRLAFOSR20240005</v>
      </c>
      <c r="B42" s="6" t="s">
        <v>1700</v>
      </c>
      <c r="C42" s="6" t="s">
        <v>1661</v>
      </c>
      <c r="D42" s="6" t="s">
        <v>1662</v>
      </c>
      <c r="E42" s="7">
        <v>45453</v>
      </c>
      <c r="F42" s="8">
        <v>6000000</v>
      </c>
      <c r="G42" s="8">
        <v>1200000</v>
      </c>
      <c r="I42" s="6" t="s">
        <v>1701</v>
      </c>
      <c r="J42" s="6" t="s">
        <v>1702</v>
      </c>
    </row>
    <row r="43" spans="1:10" ht="409.5" x14ac:dyDescent="0.25">
      <c r="A43" s="6" t="str">
        <f>HYPERLINK("https://grants.gov/search-results-detail/352892","FOAAFRLAFOSR20240004")</f>
        <v>FOAAFRLAFOSR20240004</v>
      </c>
      <c r="B43" s="6" t="s">
        <v>1660</v>
      </c>
      <c r="C43" s="6" t="s">
        <v>1661</v>
      </c>
      <c r="D43" s="6" t="s">
        <v>1662</v>
      </c>
      <c r="E43" s="7">
        <v>45464</v>
      </c>
      <c r="F43" s="8">
        <v>450000</v>
      </c>
      <c r="G43" s="8">
        <v>1</v>
      </c>
      <c r="H43" s="6">
        <v>37</v>
      </c>
      <c r="I43" s="6" t="s">
        <v>1663</v>
      </c>
      <c r="J43" s="6" t="s">
        <v>1664</v>
      </c>
    </row>
    <row r="44" spans="1:10" ht="285" x14ac:dyDescent="0.25">
      <c r="A44" s="6" t="str">
        <f>HYPERLINK("https://grants.gov/search-results-detail/345653","FA9550-23-S-0001")</f>
        <v>FA9550-23-S-0001</v>
      </c>
      <c r="B44" s="6" t="s">
        <v>2404</v>
      </c>
      <c r="C44" s="6" t="s">
        <v>1661</v>
      </c>
      <c r="D44" s="6" t="s">
        <v>1662</v>
      </c>
      <c r="F44" s="8">
        <v>100000000</v>
      </c>
      <c r="G44" s="8">
        <v>3000</v>
      </c>
      <c r="H44" s="6">
        <v>999999</v>
      </c>
      <c r="I44" s="6" t="s">
        <v>2405</v>
      </c>
      <c r="J44" s="6" t="s">
        <v>2406</v>
      </c>
    </row>
    <row r="45" spans="1:10" ht="409.5" x14ac:dyDescent="0.25">
      <c r="A45" s="6" t="str">
        <f>HYPERLINK("https://grants.gov/search-results-detail/286437","BAA-AFRL-AFOSR-2016-0008")</f>
        <v>BAA-AFRL-AFOSR-2016-0008</v>
      </c>
      <c r="B45" s="6" t="s">
        <v>2900</v>
      </c>
      <c r="C45" s="6" t="s">
        <v>1661</v>
      </c>
      <c r="D45" s="6" t="s">
        <v>1662</v>
      </c>
      <c r="F45" s="8">
        <v>1000000</v>
      </c>
      <c r="G45" s="8">
        <v>1</v>
      </c>
      <c r="H45" s="6">
        <v>200</v>
      </c>
      <c r="I45" s="6" t="s">
        <v>2901</v>
      </c>
      <c r="J45" s="6" t="s">
        <v>2902</v>
      </c>
    </row>
    <row r="46" spans="1:10" ht="375" x14ac:dyDescent="0.25">
      <c r="A46" s="6" t="str">
        <f>HYPERLINK("https://grants.gov/search-results-detail/318351","FA8650-19-S-5010")</f>
        <v>FA8650-19-S-5010</v>
      </c>
      <c r="B46" s="6" t="s">
        <v>2796</v>
      </c>
      <c r="C46" s="6" t="s">
        <v>2797</v>
      </c>
      <c r="D46" s="6" t="s">
        <v>2798</v>
      </c>
      <c r="E46" s="7">
        <v>45485</v>
      </c>
      <c r="F46" s="8" t="s">
        <v>18</v>
      </c>
      <c r="G46" s="8" t="s">
        <v>18</v>
      </c>
      <c r="H46" s="6">
        <v>2</v>
      </c>
      <c r="I46" s="6" t="s">
        <v>2799</v>
      </c>
      <c r="J46" s="6" t="s">
        <v>2800</v>
      </c>
    </row>
    <row r="47" spans="1:10" ht="409.5" x14ac:dyDescent="0.25">
      <c r="A47" s="6" t="str">
        <f>HYPERLINK("https://grants.gov/search-results-detail/323682","W911NF-20-S-0005")</f>
        <v>W911NF-20-S-0005</v>
      </c>
      <c r="B47" s="6" t="s">
        <v>2770</v>
      </c>
      <c r="C47" s="6" t="s">
        <v>2050</v>
      </c>
      <c r="D47" s="6" t="s">
        <v>2051</v>
      </c>
      <c r="E47" s="7">
        <v>45429</v>
      </c>
      <c r="F47" s="8" t="s">
        <v>18</v>
      </c>
      <c r="G47" s="8" t="s">
        <v>18</v>
      </c>
      <c r="I47" s="6" t="s">
        <v>2771</v>
      </c>
      <c r="J47" s="6" t="s">
        <v>2772</v>
      </c>
    </row>
    <row r="48" spans="1:10" ht="409.5" x14ac:dyDescent="0.25">
      <c r="A48" s="6" t="str">
        <f>HYPERLINK("https://grants.gov/search-results-detail/351504","W911NF24S0005")</f>
        <v>W911NF24S0005</v>
      </c>
      <c r="B48" s="6" t="s">
        <v>2049</v>
      </c>
      <c r="C48" s="6" t="s">
        <v>2050</v>
      </c>
      <c r="D48" s="6" t="s">
        <v>2051</v>
      </c>
      <c r="E48" s="7">
        <v>45474</v>
      </c>
      <c r="F48" s="8" t="s">
        <v>18</v>
      </c>
      <c r="G48" s="8" t="s">
        <v>18</v>
      </c>
      <c r="H48" s="6">
        <v>1000</v>
      </c>
      <c r="I48" s="6" t="s">
        <v>2052</v>
      </c>
      <c r="J48" s="6" t="s">
        <v>2053</v>
      </c>
    </row>
    <row r="49" spans="1:10" ht="409.5" x14ac:dyDescent="0.25">
      <c r="A49" s="6" t="str">
        <f>HYPERLINK("https://grants.gov/search-results-detail/339728","W911NF-22-S-0011")</f>
        <v>W911NF-22-S-0011</v>
      </c>
      <c r="B49" s="6" t="s">
        <v>2500</v>
      </c>
      <c r="C49" s="6" t="s">
        <v>2050</v>
      </c>
      <c r="D49" s="6" t="s">
        <v>2051</v>
      </c>
      <c r="F49" s="8">
        <v>2300000</v>
      </c>
      <c r="G49" s="8">
        <v>100000</v>
      </c>
      <c r="I49" s="6" t="s">
        <v>2501</v>
      </c>
      <c r="J49" s="6" t="s">
        <v>2502</v>
      </c>
    </row>
    <row r="50" spans="1:10" ht="409.5" x14ac:dyDescent="0.25">
      <c r="A50" s="6" t="str">
        <f>HYPERLINK("https://grants.gov/search-results-detail/326841","W911NF-17-S-0003-SPECIALNOTICE-LC-CSAC")</f>
        <v>W911NF-17-S-0003-SPECIALNOTICE-LC-CSAC</v>
      </c>
      <c r="B50" s="6" t="s">
        <v>2751</v>
      </c>
      <c r="C50" s="6" t="s">
        <v>2050</v>
      </c>
      <c r="D50" s="6" t="s">
        <v>2051</v>
      </c>
      <c r="F50" s="8" t="s">
        <v>18</v>
      </c>
      <c r="G50" s="8" t="s">
        <v>18</v>
      </c>
      <c r="I50" s="6" t="s">
        <v>2752</v>
      </c>
      <c r="J50" s="6" t="s">
        <v>2753</v>
      </c>
    </row>
    <row r="51" spans="1:10" ht="409.5" x14ac:dyDescent="0.25">
      <c r="A51" s="6" t="str">
        <f>HYPERLINK("https://grants.gov/search-results-detail/353212","HT942524PRMRPDA")</f>
        <v>HT942524PRMRPDA</v>
      </c>
      <c r="B51" s="6" t="s">
        <v>1226</v>
      </c>
      <c r="C51" s="6" t="s">
        <v>154</v>
      </c>
      <c r="D51" s="6" t="s">
        <v>155</v>
      </c>
      <c r="E51" s="7">
        <v>45435</v>
      </c>
      <c r="F51" s="8" t="s">
        <v>18</v>
      </c>
      <c r="G51" s="8" t="s">
        <v>18</v>
      </c>
      <c r="H51" s="6">
        <v>50</v>
      </c>
      <c r="I51" s="6" t="s">
        <v>96</v>
      </c>
      <c r="J51" s="6" t="s">
        <v>1227</v>
      </c>
    </row>
    <row r="52" spans="1:10" ht="409.5" x14ac:dyDescent="0.25">
      <c r="A52" s="6" t="str">
        <f>HYPERLINK("https://grants.gov/search-results-detail/353205","HT942524PRMRPIIRA")</f>
        <v>HT942524PRMRPIIRA</v>
      </c>
      <c r="B52" s="6" t="s">
        <v>1235</v>
      </c>
      <c r="C52" s="6" t="s">
        <v>154</v>
      </c>
      <c r="D52" s="6" t="s">
        <v>155</v>
      </c>
      <c r="E52" s="7">
        <v>45435</v>
      </c>
      <c r="F52" s="8" t="s">
        <v>18</v>
      </c>
      <c r="G52" s="8" t="s">
        <v>18</v>
      </c>
      <c r="H52" s="6">
        <v>20</v>
      </c>
      <c r="I52" s="6" t="s">
        <v>96</v>
      </c>
      <c r="J52" s="6" t="s">
        <v>1236</v>
      </c>
    </row>
    <row r="53" spans="1:10" ht="409.5" x14ac:dyDescent="0.25">
      <c r="A53" s="6" t="str">
        <f>HYPERLINK("https://grants.gov/search-results-detail/353150","HT942524BCRPBTA12")</f>
        <v>HT942524BCRPBTA12</v>
      </c>
      <c r="B53" s="6" t="s">
        <v>1268</v>
      </c>
      <c r="C53" s="6" t="s">
        <v>154</v>
      </c>
      <c r="D53" s="6" t="s">
        <v>155</v>
      </c>
      <c r="E53" s="7">
        <v>45442</v>
      </c>
      <c r="F53" s="8" t="s">
        <v>18</v>
      </c>
      <c r="G53" s="8" t="s">
        <v>18</v>
      </c>
      <c r="H53" s="6">
        <v>14</v>
      </c>
      <c r="I53" s="6" t="s">
        <v>96</v>
      </c>
      <c r="J53" s="6" t="s">
        <v>1284</v>
      </c>
    </row>
    <row r="54" spans="1:10" ht="409.5" x14ac:dyDescent="0.25">
      <c r="A54" s="6" t="str">
        <f>HYPERLINK("https://grants.gov/search-results-detail/353155","HT942524BCRPTBCCDA")</f>
        <v>HT942524BCRPTBCCDA</v>
      </c>
      <c r="B54" s="6" t="s">
        <v>1296</v>
      </c>
      <c r="C54" s="6" t="s">
        <v>154</v>
      </c>
      <c r="D54" s="6" t="s">
        <v>155</v>
      </c>
      <c r="E54" s="7">
        <v>45442</v>
      </c>
      <c r="F54" s="8" t="s">
        <v>18</v>
      </c>
      <c r="G54" s="8" t="s">
        <v>18</v>
      </c>
      <c r="H54" s="6">
        <v>1</v>
      </c>
      <c r="I54" s="6" t="s">
        <v>96</v>
      </c>
      <c r="J54" s="6" t="s">
        <v>1297</v>
      </c>
    </row>
    <row r="55" spans="1:10" ht="409.5" x14ac:dyDescent="0.25">
      <c r="A55" s="6" t="str">
        <f>HYPERLINK("https://grants.gov/search-results-detail/353152","HT942524BCRPCREA")</f>
        <v>HT942524BCRPCREA</v>
      </c>
      <c r="B55" s="6" t="s">
        <v>1289</v>
      </c>
      <c r="C55" s="6" t="s">
        <v>154</v>
      </c>
      <c r="D55" s="6" t="s">
        <v>155</v>
      </c>
      <c r="E55" s="7">
        <v>45447</v>
      </c>
      <c r="F55" s="8" t="s">
        <v>18</v>
      </c>
      <c r="G55" s="8" t="s">
        <v>18</v>
      </c>
      <c r="H55" s="6">
        <v>2</v>
      </c>
      <c r="I55" s="6" t="s">
        <v>96</v>
      </c>
      <c r="J55" s="6" t="s">
        <v>1290</v>
      </c>
    </row>
    <row r="56" spans="1:10" ht="409.5" x14ac:dyDescent="0.25">
      <c r="A56" s="6" t="str">
        <f>HYPERLINK("https://grants.gov/search-results-detail/353153","HT942524BCRPEOHS")</f>
        <v>HT942524BCRPEOHS</v>
      </c>
      <c r="B56" s="6" t="s">
        <v>1291</v>
      </c>
      <c r="C56" s="6" t="s">
        <v>154</v>
      </c>
      <c r="D56" s="6" t="s">
        <v>155</v>
      </c>
      <c r="E56" s="7">
        <v>45447</v>
      </c>
      <c r="F56" s="8" t="s">
        <v>18</v>
      </c>
      <c r="G56" s="8" t="s">
        <v>18</v>
      </c>
      <c r="H56" s="6">
        <v>1</v>
      </c>
      <c r="I56" s="6" t="s">
        <v>96</v>
      </c>
      <c r="J56" s="6" t="s">
        <v>1292</v>
      </c>
    </row>
    <row r="57" spans="1:10" ht="409.5" x14ac:dyDescent="0.25">
      <c r="A57" s="6" t="str">
        <f>HYPERLINK("https://grants.gov/search-results-detail/353206","HT942524PRMRPTTDA")</f>
        <v>HT942524PRMRPTTDA</v>
      </c>
      <c r="B57" s="6" t="s">
        <v>1233</v>
      </c>
      <c r="C57" s="6" t="s">
        <v>154</v>
      </c>
      <c r="D57" s="6" t="s">
        <v>155</v>
      </c>
      <c r="E57" s="7">
        <v>45449</v>
      </c>
      <c r="F57" s="8" t="s">
        <v>18</v>
      </c>
      <c r="G57" s="8" t="s">
        <v>18</v>
      </c>
      <c r="H57" s="6">
        <v>15</v>
      </c>
      <c r="I57" s="6" t="s">
        <v>96</v>
      </c>
      <c r="J57" s="6" t="s">
        <v>1234</v>
      </c>
    </row>
    <row r="58" spans="1:10" ht="409.5" x14ac:dyDescent="0.25">
      <c r="A58" s="6" t="str">
        <f>HYPERLINK("https://grants.gov/search-results-detail/353209","HT942524PRMRPLBIRA")</f>
        <v>HT942524PRMRPLBIRA</v>
      </c>
      <c r="B58" s="6" t="s">
        <v>1237</v>
      </c>
      <c r="C58" s="6" t="s">
        <v>154</v>
      </c>
      <c r="D58" s="6" t="s">
        <v>155</v>
      </c>
      <c r="E58" s="7">
        <v>45449</v>
      </c>
      <c r="F58" s="8" t="s">
        <v>18</v>
      </c>
      <c r="G58" s="8" t="s">
        <v>18</v>
      </c>
      <c r="H58" s="6">
        <v>6</v>
      </c>
      <c r="I58" s="6" t="s">
        <v>96</v>
      </c>
      <c r="J58" s="6" t="s">
        <v>1238</v>
      </c>
    </row>
    <row r="59" spans="1:10" ht="409.5" x14ac:dyDescent="0.25">
      <c r="A59" s="6" t="str">
        <f>HYPERLINK("https://grants.gov/search-results-detail/353210","HT942524PRMRPIPA")</f>
        <v>HT942524PRMRPIPA</v>
      </c>
      <c r="B59" s="6" t="s">
        <v>1239</v>
      </c>
      <c r="C59" s="6" t="s">
        <v>154</v>
      </c>
      <c r="D59" s="6" t="s">
        <v>155</v>
      </c>
      <c r="E59" s="7">
        <v>45449</v>
      </c>
      <c r="F59" s="8" t="s">
        <v>18</v>
      </c>
      <c r="G59" s="8" t="s">
        <v>18</v>
      </c>
      <c r="H59" s="6">
        <v>14</v>
      </c>
      <c r="I59" s="6" t="s">
        <v>96</v>
      </c>
      <c r="J59" s="6" t="s">
        <v>1240</v>
      </c>
    </row>
    <row r="60" spans="1:10" ht="409.5" x14ac:dyDescent="0.25">
      <c r="A60" s="6" t="str">
        <f>HYPERLINK("https://grants.gov/search-results-detail/353171","HT942524LCRPCDA")</f>
        <v>HT942524LCRPCDA</v>
      </c>
      <c r="B60" s="6" t="s">
        <v>1327</v>
      </c>
      <c r="C60" s="6" t="s">
        <v>154</v>
      </c>
      <c r="D60" s="6" t="s">
        <v>155</v>
      </c>
      <c r="E60" s="7">
        <v>45460</v>
      </c>
      <c r="F60" s="8" t="s">
        <v>18</v>
      </c>
      <c r="G60" s="8" t="s">
        <v>18</v>
      </c>
      <c r="H60" s="6">
        <v>3</v>
      </c>
      <c r="I60" s="6" t="s">
        <v>96</v>
      </c>
      <c r="J60" s="6" t="s">
        <v>1328</v>
      </c>
    </row>
    <row r="61" spans="1:10" ht="409.5" x14ac:dyDescent="0.25">
      <c r="A61" s="6" t="str">
        <f>HYPERLINK("https://grants.gov/search-results-detail/353169","HT942524LCRPCA")</f>
        <v>HT942524LCRPCA</v>
      </c>
      <c r="B61" s="6" t="s">
        <v>1329</v>
      </c>
      <c r="C61" s="6" t="s">
        <v>154</v>
      </c>
      <c r="D61" s="6" t="s">
        <v>155</v>
      </c>
      <c r="E61" s="7">
        <v>45460</v>
      </c>
      <c r="F61" s="8" t="s">
        <v>18</v>
      </c>
      <c r="G61" s="8" t="s">
        <v>18</v>
      </c>
      <c r="H61" s="6">
        <v>10</v>
      </c>
      <c r="I61" s="6" t="s">
        <v>96</v>
      </c>
      <c r="J61" s="6" t="s">
        <v>1330</v>
      </c>
    </row>
    <row r="62" spans="1:10" ht="409.5" x14ac:dyDescent="0.25">
      <c r="A62" s="6" t="str">
        <f>HYPERLINK("https://grants.gov/search-results-detail/353148","HT942524PRARPTRDA")</f>
        <v>HT942524PRARPTRDA</v>
      </c>
      <c r="B62" s="6" t="s">
        <v>1279</v>
      </c>
      <c r="C62" s="6" t="s">
        <v>154</v>
      </c>
      <c r="D62" s="6" t="s">
        <v>155</v>
      </c>
      <c r="E62" s="7">
        <v>45463</v>
      </c>
      <c r="F62" s="8" t="s">
        <v>18</v>
      </c>
      <c r="G62" s="8" t="s">
        <v>18</v>
      </c>
      <c r="H62" s="6">
        <v>2</v>
      </c>
      <c r="I62" s="6" t="s">
        <v>96</v>
      </c>
      <c r="J62" s="6" t="s">
        <v>1280</v>
      </c>
    </row>
    <row r="63" spans="1:10" ht="409.5" x14ac:dyDescent="0.25">
      <c r="A63" s="6" t="str">
        <f>HYPERLINK("https://grants.gov/search-results-detail/353149","HT942524PRARPTRRA")</f>
        <v>HT942524PRARPTRRA</v>
      </c>
      <c r="B63" s="6" t="s">
        <v>1285</v>
      </c>
      <c r="C63" s="6" t="s">
        <v>154</v>
      </c>
      <c r="D63" s="6" t="s">
        <v>155</v>
      </c>
      <c r="E63" s="7">
        <v>45463</v>
      </c>
      <c r="F63" s="8" t="s">
        <v>18</v>
      </c>
      <c r="G63" s="8" t="s">
        <v>18</v>
      </c>
      <c r="H63" s="6">
        <v>5</v>
      </c>
      <c r="I63" s="6" t="s">
        <v>96</v>
      </c>
      <c r="J63" s="6" t="s">
        <v>1286</v>
      </c>
    </row>
    <row r="64" spans="1:10" ht="409.5" x14ac:dyDescent="0.25">
      <c r="A64" s="6" t="str">
        <f>HYPERLINK("https://grants.gov/search-results-detail/353151","HT942524PRARPTRCA")</f>
        <v>HT942524PRARPTRCA</v>
      </c>
      <c r="B64" s="6" t="s">
        <v>1287</v>
      </c>
      <c r="C64" s="6" t="s">
        <v>154</v>
      </c>
      <c r="D64" s="6" t="s">
        <v>155</v>
      </c>
      <c r="E64" s="7">
        <v>45463</v>
      </c>
      <c r="F64" s="8" t="s">
        <v>18</v>
      </c>
      <c r="G64" s="8" t="s">
        <v>18</v>
      </c>
      <c r="H64" s="6">
        <v>3</v>
      </c>
      <c r="I64" s="6" t="s">
        <v>96</v>
      </c>
      <c r="J64" s="6" t="s">
        <v>1288</v>
      </c>
    </row>
    <row r="65" spans="1:10" ht="409.5" x14ac:dyDescent="0.25">
      <c r="A65" s="6" t="str">
        <f>HYPERLINK("https://grants.gov/search-results-detail/353162","HT942524ERPVPTERCF")</f>
        <v>HT942524ERPVPTERCF</v>
      </c>
      <c r="B65" s="6" t="s">
        <v>1300</v>
      </c>
      <c r="C65" s="6" t="s">
        <v>154</v>
      </c>
      <c r="D65" s="6" t="s">
        <v>155</v>
      </c>
      <c r="E65" s="7">
        <v>45463</v>
      </c>
      <c r="F65" s="8" t="s">
        <v>18</v>
      </c>
      <c r="G65" s="8" t="s">
        <v>18</v>
      </c>
      <c r="H65" s="6">
        <v>2</v>
      </c>
      <c r="I65" s="6" t="s">
        <v>96</v>
      </c>
      <c r="J65" s="6" t="s">
        <v>1301</v>
      </c>
    </row>
    <row r="66" spans="1:10" ht="180" x14ac:dyDescent="0.25">
      <c r="A66" s="6" t="str">
        <f>HYPERLINK("https://grants.gov/search-results-detail/353160","HT942524ERPRPA")</f>
        <v>HT942524ERPRPA</v>
      </c>
      <c r="B66" s="6" t="s">
        <v>1302</v>
      </c>
      <c r="C66" s="6" t="s">
        <v>154</v>
      </c>
      <c r="D66" s="6" t="s">
        <v>155</v>
      </c>
      <c r="E66" s="7">
        <v>45463</v>
      </c>
      <c r="F66" s="8" t="s">
        <v>18</v>
      </c>
      <c r="G66" s="8" t="s">
        <v>18</v>
      </c>
      <c r="H66" s="6">
        <v>1</v>
      </c>
      <c r="I66" s="6" t="s">
        <v>96</v>
      </c>
      <c r="J66" s="6" t="s">
        <v>1303</v>
      </c>
    </row>
    <row r="67" spans="1:10" ht="315" x14ac:dyDescent="0.25">
      <c r="A67" s="6" t="str">
        <f>HYPERLINK("https://grants.gov/search-results-detail/353157","HT942524ERPIDA")</f>
        <v>HT942524ERPIDA</v>
      </c>
      <c r="B67" s="6" t="s">
        <v>1304</v>
      </c>
      <c r="C67" s="6" t="s">
        <v>154</v>
      </c>
      <c r="D67" s="6" t="s">
        <v>155</v>
      </c>
      <c r="E67" s="7">
        <v>45463</v>
      </c>
      <c r="F67" s="8" t="s">
        <v>18</v>
      </c>
      <c r="G67" s="8" t="s">
        <v>18</v>
      </c>
      <c r="H67" s="6">
        <v>5</v>
      </c>
      <c r="I67" s="6" t="s">
        <v>96</v>
      </c>
      <c r="J67" s="6" t="s">
        <v>1305</v>
      </c>
    </row>
    <row r="68" spans="1:10" ht="345" x14ac:dyDescent="0.25">
      <c r="A68" s="6" t="str">
        <f>HYPERLINK("https://grants.gov/search-results-detail/353159","HT942524ERPLRA")</f>
        <v>HT942524ERPLRA</v>
      </c>
      <c r="B68" s="6" t="s">
        <v>1306</v>
      </c>
      <c r="C68" s="6" t="s">
        <v>154</v>
      </c>
      <c r="D68" s="6" t="s">
        <v>155</v>
      </c>
      <c r="E68" s="7">
        <v>45463</v>
      </c>
      <c r="F68" s="8" t="s">
        <v>18</v>
      </c>
      <c r="G68" s="8" t="s">
        <v>18</v>
      </c>
      <c r="H68" s="6">
        <v>3</v>
      </c>
      <c r="I68" s="6" t="s">
        <v>96</v>
      </c>
      <c r="J68" s="6" t="s">
        <v>1307</v>
      </c>
    </row>
    <row r="69" spans="1:10" ht="409.5" x14ac:dyDescent="0.25">
      <c r="A69" s="6" t="str">
        <f>HYPERLINK("https://grants.gov/search-results-detail/353161","HT942524ALSRPPCTA")</f>
        <v>HT942524ALSRPPCTA</v>
      </c>
      <c r="B69" s="6" t="s">
        <v>1331</v>
      </c>
      <c r="C69" s="6" t="s">
        <v>154</v>
      </c>
      <c r="D69" s="6" t="s">
        <v>155</v>
      </c>
      <c r="E69" s="7">
        <v>45483</v>
      </c>
      <c r="F69" s="8" t="s">
        <v>18</v>
      </c>
      <c r="G69" s="8" t="s">
        <v>18</v>
      </c>
      <c r="H69" s="6">
        <v>3</v>
      </c>
      <c r="I69" s="6" t="s">
        <v>96</v>
      </c>
      <c r="J69" s="6" t="s">
        <v>1332</v>
      </c>
    </row>
    <row r="70" spans="1:10" ht="409.5" x14ac:dyDescent="0.25">
      <c r="A70" s="6" t="str">
        <f>HYPERLINK("https://grants.gov/search-results-detail/353158","HT942524ALSRPCOBA")</f>
        <v>HT942524ALSRPCOBA</v>
      </c>
      <c r="B70" s="6" t="s">
        <v>1333</v>
      </c>
      <c r="C70" s="6" t="s">
        <v>154</v>
      </c>
      <c r="D70" s="6" t="s">
        <v>155</v>
      </c>
      <c r="E70" s="7">
        <v>45483</v>
      </c>
      <c r="F70" s="8" t="s">
        <v>18</v>
      </c>
      <c r="G70" s="8" t="s">
        <v>18</v>
      </c>
      <c r="H70" s="6">
        <v>5</v>
      </c>
      <c r="I70" s="6" t="s">
        <v>96</v>
      </c>
      <c r="J70" s="6" t="s">
        <v>1334</v>
      </c>
    </row>
    <row r="71" spans="1:10" ht="409.5" x14ac:dyDescent="0.25">
      <c r="A71" s="6" t="str">
        <f>HYPERLINK("https://grants.gov/search-results-detail/353166","HT942524ALSRPTDA")</f>
        <v>HT942524ALSRPTDA</v>
      </c>
      <c r="B71" s="6" t="s">
        <v>1335</v>
      </c>
      <c r="C71" s="6" t="s">
        <v>154</v>
      </c>
      <c r="D71" s="6" t="s">
        <v>155</v>
      </c>
      <c r="E71" s="7">
        <v>45483</v>
      </c>
      <c r="F71" s="8" t="s">
        <v>18</v>
      </c>
      <c r="G71" s="8" t="s">
        <v>18</v>
      </c>
      <c r="H71" s="6">
        <v>4</v>
      </c>
      <c r="I71" s="6" t="s">
        <v>96</v>
      </c>
      <c r="J71" s="6" t="s">
        <v>1336</v>
      </c>
    </row>
    <row r="72" spans="1:10" ht="409.5" x14ac:dyDescent="0.25">
      <c r="A72" s="6" t="str">
        <f>HYPERLINK("https://grants.gov/search-results-detail/353167","HT942524ALSRPTIA")</f>
        <v>HT942524ALSRPTIA</v>
      </c>
      <c r="B72" s="6" t="s">
        <v>1337</v>
      </c>
      <c r="C72" s="6" t="s">
        <v>154</v>
      </c>
      <c r="D72" s="6" t="s">
        <v>155</v>
      </c>
      <c r="E72" s="7">
        <v>45483</v>
      </c>
      <c r="F72" s="8" t="s">
        <v>18</v>
      </c>
      <c r="G72" s="8" t="s">
        <v>18</v>
      </c>
      <c r="H72" s="6">
        <v>10</v>
      </c>
      <c r="I72" s="6" t="s">
        <v>96</v>
      </c>
      <c r="J72" s="6" t="s">
        <v>1338</v>
      </c>
    </row>
    <row r="73" spans="1:10" ht="409.5" x14ac:dyDescent="0.25">
      <c r="A73" s="6" t="str">
        <f>HYPERLINK("https://grants.gov/search-results-detail/353646","HT942524TSCRPCTRA")</f>
        <v>HT942524TSCRPCTRA</v>
      </c>
      <c r="B73" s="6" t="s">
        <v>436</v>
      </c>
      <c r="C73" s="6" t="s">
        <v>154</v>
      </c>
      <c r="D73" s="6" t="s">
        <v>155</v>
      </c>
      <c r="E73" s="7">
        <v>45505</v>
      </c>
      <c r="F73" s="8" t="s">
        <v>18</v>
      </c>
      <c r="G73" s="8" t="s">
        <v>18</v>
      </c>
      <c r="H73" s="6">
        <v>2</v>
      </c>
      <c r="I73" s="6" t="s">
        <v>96</v>
      </c>
      <c r="J73" s="6" t="s">
        <v>437</v>
      </c>
    </row>
    <row r="74" spans="1:10" ht="409.5" x14ac:dyDescent="0.25">
      <c r="A74" s="6" t="str">
        <f>HYPERLINK("https://grants.gov/search-results-detail/353645","HT942524TSCRPIDA")</f>
        <v>HT942524TSCRPIDA</v>
      </c>
      <c r="B74" s="6" t="s">
        <v>438</v>
      </c>
      <c r="C74" s="6" t="s">
        <v>154</v>
      </c>
      <c r="D74" s="6" t="s">
        <v>155</v>
      </c>
      <c r="E74" s="7">
        <v>45505</v>
      </c>
      <c r="F74" s="8" t="s">
        <v>18</v>
      </c>
      <c r="G74" s="8" t="s">
        <v>18</v>
      </c>
      <c r="H74" s="6">
        <v>3</v>
      </c>
      <c r="I74" s="6" t="s">
        <v>96</v>
      </c>
      <c r="J74" s="6" t="s">
        <v>439</v>
      </c>
    </row>
    <row r="75" spans="1:10" ht="409.5" x14ac:dyDescent="0.25">
      <c r="A75" s="6" t="str">
        <f>HYPERLINK("https://grants.gov/search-results-detail/353647","HT942524TSCRPEHDA")</f>
        <v>HT942524TSCRPEHDA</v>
      </c>
      <c r="B75" s="6" t="s">
        <v>443</v>
      </c>
      <c r="C75" s="6" t="s">
        <v>154</v>
      </c>
      <c r="D75" s="6" t="s">
        <v>155</v>
      </c>
      <c r="E75" s="7">
        <v>45505</v>
      </c>
      <c r="F75" s="8" t="s">
        <v>18</v>
      </c>
      <c r="G75" s="8" t="s">
        <v>18</v>
      </c>
      <c r="H75" s="6">
        <v>5</v>
      </c>
      <c r="I75" s="6" t="s">
        <v>96</v>
      </c>
      <c r="J75" s="6" t="s">
        <v>444</v>
      </c>
    </row>
    <row r="76" spans="1:10" ht="360" x14ac:dyDescent="0.25">
      <c r="A76" s="6" t="str">
        <f>HYPERLINK("https://grants.gov/search-results-detail/353548","HT942524OCRPOCCTAECI")</f>
        <v>HT942524OCRPOCCTAECI</v>
      </c>
      <c r="B76" s="6" t="s">
        <v>604</v>
      </c>
      <c r="C76" s="6" t="s">
        <v>154</v>
      </c>
      <c r="D76" s="6" t="s">
        <v>155</v>
      </c>
      <c r="E76" s="7">
        <v>45510</v>
      </c>
      <c r="F76" s="8" t="s">
        <v>18</v>
      </c>
      <c r="G76" s="8" t="s">
        <v>18</v>
      </c>
      <c r="H76" s="6">
        <v>3</v>
      </c>
      <c r="I76" s="6" t="s">
        <v>96</v>
      </c>
      <c r="J76" s="6" t="s">
        <v>605</v>
      </c>
    </row>
    <row r="77" spans="1:10" ht="405" x14ac:dyDescent="0.25">
      <c r="A77" s="6" t="str">
        <f>HYPERLINK("https://grants.gov/search-results-detail/353246","HT942524OCRPOCAECI")</f>
        <v>HT942524OCRPOCAECI</v>
      </c>
      <c r="B77" s="6" t="s">
        <v>1144</v>
      </c>
      <c r="C77" s="6" t="s">
        <v>154</v>
      </c>
      <c r="D77" s="6" t="s">
        <v>155</v>
      </c>
      <c r="E77" s="7">
        <v>45510</v>
      </c>
      <c r="F77" s="8" t="s">
        <v>18</v>
      </c>
      <c r="G77" s="8" t="s">
        <v>18</v>
      </c>
      <c r="H77" s="6">
        <v>2</v>
      </c>
      <c r="I77" s="6" t="s">
        <v>96</v>
      </c>
      <c r="J77" s="6" t="s">
        <v>1145</v>
      </c>
    </row>
    <row r="78" spans="1:10" ht="210" x14ac:dyDescent="0.25">
      <c r="A78" s="6" t="str">
        <f>HYPERLINK("https://grants.gov/search-results-detail/353199","HT942524OCRPCTA")</f>
        <v>HT942524OCRPCTA</v>
      </c>
      <c r="B78" s="6" t="s">
        <v>1255</v>
      </c>
      <c r="C78" s="6" t="s">
        <v>154</v>
      </c>
      <c r="D78" s="6" t="s">
        <v>155</v>
      </c>
      <c r="E78" s="7">
        <v>45510</v>
      </c>
      <c r="F78" s="8" t="s">
        <v>18</v>
      </c>
      <c r="G78" s="8" t="s">
        <v>18</v>
      </c>
      <c r="H78" s="6">
        <v>2</v>
      </c>
      <c r="I78" s="6" t="s">
        <v>96</v>
      </c>
      <c r="J78" s="6" t="s">
        <v>1256</v>
      </c>
    </row>
    <row r="79" spans="1:10" ht="255" x14ac:dyDescent="0.25">
      <c r="A79" s="6" t="str">
        <f>HYPERLINK("https://grants.gov/search-results-detail/353197","HT942524OCRPIIRA")</f>
        <v>HT942524OCRPIIRA</v>
      </c>
      <c r="B79" s="6" t="s">
        <v>1257</v>
      </c>
      <c r="C79" s="6" t="s">
        <v>154</v>
      </c>
      <c r="D79" s="6" t="s">
        <v>155</v>
      </c>
      <c r="E79" s="7">
        <v>45510</v>
      </c>
      <c r="F79" s="8" t="s">
        <v>18</v>
      </c>
      <c r="G79" s="8" t="s">
        <v>18</v>
      </c>
      <c r="H79" s="6">
        <v>9</v>
      </c>
      <c r="I79" s="6" t="s">
        <v>96</v>
      </c>
      <c r="J79" s="6" t="s">
        <v>1258</v>
      </c>
    </row>
    <row r="80" spans="1:10" ht="195" x14ac:dyDescent="0.25">
      <c r="A80" s="6" t="str">
        <f>HYPERLINK("https://grants.gov/search-results-detail/353196","HT942524OCRPOCALA")</f>
        <v>HT942524OCRPOCALA</v>
      </c>
      <c r="B80" s="6" t="s">
        <v>1259</v>
      </c>
      <c r="C80" s="6" t="s">
        <v>154</v>
      </c>
      <c r="D80" s="6" t="s">
        <v>155</v>
      </c>
      <c r="E80" s="7">
        <v>45510</v>
      </c>
      <c r="F80" s="8" t="s">
        <v>18</v>
      </c>
      <c r="G80" s="8" t="s">
        <v>18</v>
      </c>
      <c r="H80" s="6">
        <v>1</v>
      </c>
      <c r="I80" s="6" t="s">
        <v>96</v>
      </c>
      <c r="J80" s="6" t="s">
        <v>1260</v>
      </c>
    </row>
    <row r="81" spans="1:10" ht="195" x14ac:dyDescent="0.25">
      <c r="A81" s="6" t="str">
        <f>HYPERLINK("https://grants.gov/search-results-detail/353195","HT942524OCRPPA")</f>
        <v>HT942524OCRPPA</v>
      </c>
      <c r="B81" s="6" t="s">
        <v>1261</v>
      </c>
      <c r="C81" s="6" t="s">
        <v>154</v>
      </c>
      <c r="D81" s="6" t="s">
        <v>155</v>
      </c>
      <c r="E81" s="7">
        <v>45510</v>
      </c>
      <c r="F81" s="8" t="s">
        <v>18</v>
      </c>
      <c r="G81" s="8" t="s">
        <v>18</v>
      </c>
      <c r="H81" s="6">
        <v>10</v>
      </c>
      <c r="I81" s="6" t="s">
        <v>96</v>
      </c>
      <c r="J81" s="6" t="s">
        <v>1262</v>
      </c>
    </row>
    <row r="82" spans="1:10" ht="315" x14ac:dyDescent="0.25">
      <c r="A82" s="6" t="str">
        <f>HYPERLINK("https://grants.gov/search-results-detail/353198","HT942524OCRPCTTERA")</f>
        <v>HT942524OCRPCTTERA</v>
      </c>
      <c r="B82" s="6" t="s">
        <v>1263</v>
      </c>
      <c r="C82" s="6" t="s">
        <v>154</v>
      </c>
      <c r="D82" s="6" t="s">
        <v>155</v>
      </c>
      <c r="E82" s="7">
        <v>45510</v>
      </c>
      <c r="F82" s="8" t="s">
        <v>18</v>
      </c>
      <c r="G82" s="8" t="s">
        <v>18</v>
      </c>
      <c r="H82" s="6">
        <v>1</v>
      </c>
      <c r="I82" s="6" t="s">
        <v>96</v>
      </c>
      <c r="J82" s="6" t="s">
        <v>1264</v>
      </c>
    </row>
    <row r="83" spans="1:10" ht="409.5" x14ac:dyDescent="0.25">
      <c r="A83" s="6" t="str">
        <f>HYPERLINK("https://grants.gov/search-results-detail/353142","HT942524BCRPBTA3")</f>
        <v>HT942524BCRPBTA3</v>
      </c>
      <c r="B83" s="6" t="s">
        <v>1268</v>
      </c>
      <c r="C83" s="6" t="s">
        <v>154</v>
      </c>
      <c r="D83" s="6" t="s">
        <v>155</v>
      </c>
      <c r="E83" s="7">
        <v>45510</v>
      </c>
      <c r="F83" s="8" t="s">
        <v>18</v>
      </c>
      <c r="G83" s="8" t="s">
        <v>18</v>
      </c>
      <c r="H83" s="6">
        <v>2</v>
      </c>
      <c r="I83" s="6" t="s">
        <v>96</v>
      </c>
      <c r="J83" s="6" t="s">
        <v>1269</v>
      </c>
    </row>
    <row r="84" spans="1:10" ht="409.5" x14ac:dyDescent="0.25">
      <c r="A84" s="6" t="str">
        <f>HYPERLINK("https://grants.gov/search-results-detail/353147","HT942524BCRPBTA4")</f>
        <v>HT942524BCRPBTA4</v>
      </c>
      <c r="B84" s="6" t="s">
        <v>1268</v>
      </c>
      <c r="C84" s="6" t="s">
        <v>154</v>
      </c>
      <c r="D84" s="6" t="s">
        <v>155</v>
      </c>
      <c r="E84" s="7">
        <v>45510</v>
      </c>
      <c r="F84" s="8" t="s">
        <v>18</v>
      </c>
      <c r="G84" s="8" t="s">
        <v>18</v>
      </c>
      <c r="H84" s="6">
        <v>1</v>
      </c>
      <c r="I84" s="6" t="s">
        <v>96</v>
      </c>
      <c r="J84" s="6" t="s">
        <v>1278</v>
      </c>
    </row>
    <row r="85" spans="1:10" ht="409.5" x14ac:dyDescent="0.25">
      <c r="A85" s="6" t="str">
        <f>HYPERLINK("https://grants.gov/search-results-detail/353154","HT942524BCRPTBCCA")</f>
        <v>HT942524BCRPTBCCA</v>
      </c>
      <c r="B85" s="6" t="s">
        <v>1298</v>
      </c>
      <c r="C85" s="6" t="s">
        <v>154</v>
      </c>
      <c r="D85" s="6" t="s">
        <v>155</v>
      </c>
      <c r="E85" s="7">
        <v>45510</v>
      </c>
      <c r="F85" s="8" t="s">
        <v>18</v>
      </c>
      <c r="G85" s="8" t="s">
        <v>18</v>
      </c>
      <c r="H85" s="6">
        <v>1</v>
      </c>
      <c r="I85" s="6" t="s">
        <v>96</v>
      </c>
      <c r="J85" s="6" t="s">
        <v>1299</v>
      </c>
    </row>
    <row r="86" spans="1:10" ht="409.5" x14ac:dyDescent="0.25">
      <c r="A86" s="6" t="str">
        <f>HYPERLINK("https://grants.gov/search-results-detail/353175","HT942524LCRPTRA")</f>
        <v>HT942524LCRPTRA</v>
      </c>
      <c r="B86" s="6" t="s">
        <v>1317</v>
      </c>
      <c r="C86" s="6" t="s">
        <v>154</v>
      </c>
      <c r="D86" s="6" t="s">
        <v>155</v>
      </c>
      <c r="E86" s="7">
        <v>45511</v>
      </c>
      <c r="F86" s="8" t="s">
        <v>18</v>
      </c>
      <c r="G86" s="8" t="s">
        <v>18</v>
      </c>
      <c r="H86" s="6">
        <v>5</v>
      </c>
      <c r="I86" s="6" t="s">
        <v>96</v>
      </c>
      <c r="J86" s="6" t="s">
        <v>1318</v>
      </c>
    </row>
    <row r="87" spans="1:10" ht="409.5" x14ac:dyDescent="0.25">
      <c r="A87" s="6" t="str">
        <f>HYPERLINK("https://grants.gov/search-results-detail/353174","HT942524LCRPPCOSA")</f>
        <v>HT942524LCRPPCOSA</v>
      </c>
      <c r="B87" s="6" t="s">
        <v>1323</v>
      </c>
      <c r="C87" s="6" t="s">
        <v>154</v>
      </c>
      <c r="D87" s="6" t="s">
        <v>155</v>
      </c>
      <c r="E87" s="7">
        <v>45511</v>
      </c>
      <c r="F87" s="8" t="s">
        <v>18</v>
      </c>
      <c r="G87" s="8" t="s">
        <v>18</v>
      </c>
      <c r="H87" s="6">
        <v>2</v>
      </c>
      <c r="I87" s="6" t="s">
        <v>96</v>
      </c>
      <c r="J87" s="6" t="s">
        <v>1324</v>
      </c>
    </row>
    <row r="88" spans="1:10" ht="409.5" x14ac:dyDescent="0.25">
      <c r="A88" s="6" t="str">
        <f>HYPERLINK("https://grants.gov/search-results-detail/353172","HT942524LCRPIDA")</f>
        <v>HT942524LCRPIDA</v>
      </c>
      <c r="B88" s="6" t="s">
        <v>1325</v>
      </c>
      <c r="C88" s="6" t="s">
        <v>154</v>
      </c>
      <c r="D88" s="6" t="s">
        <v>155</v>
      </c>
      <c r="E88" s="7">
        <v>45511</v>
      </c>
      <c r="F88" s="8" t="s">
        <v>18</v>
      </c>
      <c r="G88" s="8" t="s">
        <v>18</v>
      </c>
      <c r="H88" s="6">
        <v>10</v>
      </c>
      <c r="I88" s="6" t="s">
        <v>96</v>
      </c>
      <c r="J88" s="6" t="s">
        <v>1326</v>
      </c>
    </row>
    <row r="89" spans="1:10" ht="409.5" x14ac:dyDescent="0.25">
      <c r="A89" s="6" t="str">
        <f>HYPERLINK("https://grants.gov/search-results-detail/353178","HT942524HRRPFRA")</f>
        <v>HT942524HRRPFRA</v>
      </c>
      <c r="B89" s="6" t="s">
        <v>1315</v>
      </c>
      <c r="C89" s="6" t="s">
        <v>154</v>
      </c>
      <c r="D89" s="6" t="s">
        <v>155</v>
      </c>
      <c r="E89" s="7">
        <v>45513</v>
      </c>
      <c r="F89" s="8" t="s">
        <v>18</v>
      </c>
      <c r="G89" s="8" t="s">
        <v>18</v>
      </c>
      <c r="H89" s="6">
        <v>4</v>
      </c>
      <c r="I89" s="6" t="s">
        <v>96</v>
      </c>
      <c r="J89" s="6" t="s">
        <v>1316</v>
      </c>
    </row>
    <row r="90" spans="1:10" ht="375" x14ac:dyDescent="0.25">
      <c r="A90" s="6" t="str">
        <f>HYPERLINK("https://grants.gov/search-results-detail/353820","HT942524ARPDA")</f>
        <v>HT942524ARPDA</v>
      </c>
      <c r="B90" s="6" t="s">
        <v>153</v>
      </c>
      <c r="C90" s="6" t="s">
        <v>154</v>
      </c>
      <c r="D90" s="6" t="s">
        <v>155</v>
      </c>
      <c r="E90" s="7">
        <v>45519</v>
      </c>
      <c r="F90" s="8" t="s">
        <v>18</v>
      </c>
      <c r="G90" s="8" t="s">
        <v>18</v>
      </c>
      <c r="H90" s="6">
        <v>2</v>
      </c>
      <c r="I90" s="6" t="s">
        <v>96</v>
      </c>
      <c r="J90" s="6" t="s">
        <v>156</v>
      </c>
    </row>
    <row r="91" spans="1:10" ht="409.5" x14ac:dyDescent="0.25">
      <c r="A91" s="6" t="str">
        <f>HYPERLINK("https://grants.gov/search-results-detail/353183","HT942524ARPCDA")</f>
        <v>HT942524ARPCDA</v>
      </c>
      <c r="B91" s="6" t="s">
        <v>1308</v>
      </c>
      <c r="C91" s="6" t="s">
        <v>154</v>
      </c>
      <c r="D91" s="6" t="s">
        <v>155</v>
      </c>
      <c r="E91" s="7">
        <v>45519</v>
      </c>
      <c r="F91" s="8" t="s">
        <v>18</v>
      </c>
      <c r="G91" s="8" t="s">
        <v>18</v>
      </c>
      <c r="H91" s="6">
        <v>4</v>
      </c>
      <c r="I91" s="6" t="s">
        <v>96</v>
      </c>
      <c r="J91" s="6" t="s">
        <v>1309</v>
      </c>
    </row>
    <row r="92" spans="1:10" ht="409.5" x14ac:dyDescent="0.25">
      <c r="A92" s="6" t="str">
        <f>HYPERLINK("https://grants.gov/search-results-detail/353176","HT942524ARPCTA")</f>
        <v>HT942524ARPCTA</v>
      </c>
      <c r="B92" s="6" t="s">
        <v>1313</v>
      </c>
      <c r="C92" s="6" t="s">
        <v>154</v>
      </c>
      <c r="D92" s="6" t="s">
        <v>155</v>
      </c>
      <c r="E92" s="7">
        <v>45519</v>
      </c>
      <c r="F92" s="8" t="s">
        <v>18</v>
      </c>
      <c r="G92" s="8" t="s">
        <v>18</v>
      </c>
      <c r="H92" s="6">
        <v>2</v>
      </c>
      <c r="I92" s="6" t="s">
        <v>96</v>
      </c>
      <c r="J92" s="6" t="s">
        <v>1314</v>
      </c>
    </row>
    <row r="93" spans="1:10" ht="409.5" x14ac:dyDescent="0.25">
      <c r="A93" s="6" t="str">
        <f>HYPERLINK("https://grants.gov/search-results-detail/353180","HT942524ARPIDA")</f>
        <v>HT942524ARPIDA</v>
      </c>
      <c r="B93" s="6" t="s">
        <v>1319</v>
      </c>
      <c r="C93" s="6" t="s">
        <v>154</v>
      </c>
      <c r="D93" s="6" t="s">
        <v>155</v>
      </c>
      <c r="E93" s="7">
        <v>45519</v>
      </c>
      <c r="F93" s="8" t="s">
        <v>18</v>
      </c>
      <c r="G93" s="8" t="s">
        <v>18</v>
      </c>
      <c r="H93" s="6">
        <v>4</v>
      </c>
      <c r="I93" s="6" t="s">
        <v>96</v>
      </c>
      <c r="J93" s="6" t="s">
        <v>1320</v>
      </c>
    </row>
    <row r="94" spans="1:10" ht="409.5" x14ac:dyDescent="0.25">
      <c r="A94" s="6" t="str">
        <f>HYPERLINK("https://grants.gov/search-results-detail/353500","W81EWF-24-SOI-0020")</f>
        <v>W81EWF-24-SOI-0020</v>
      </c>
      <c r="B94" s="6" t="s">
        <v>732</v>
      </c>
      <c r="C94" s="6" t="s">
        <v>264</v>
      </c>
      <c r="D94" s="6" t="s">
        <v>265</v>
      </c>
      <c r="E94" s="7">
        <v>45447</v>
      </c>
      <c r="F94" s="8">
        <v>124000</v>
      </c>
      <c r="G94" s="8">
        <v>0</v>
      </c>
      <c r="H94" s="6">
        <v>1</v>
      </c>
      <c r="I94" s="6" t="s">
        <v>733</v>
      </c>
      <c r="J94" s="6" t="s">
        <v>734</v>
      </c>
    </row>
    <row r="95" spans="1:10" ht="409.5" x14ac:dyDescent="0.25">
      <c r="A95" s="6" t="str">
        <f>HYPERLINK("https://grants.gov/search-results-detail/353511","W81EWF-24-SOI-0021")</f>
        <v>W81EWF-24-SOI-0021</v>
      </c>
      <c r="B95" s="6" t="s">
        <v>695</v>
      </c>
      <c r="C95" s="6" t="s">
        <v>264</v>
      </c>
      <c r="D95" s="6" t="s">
        <v>265</v>
      </c>
      <c r="E95" s="7">
        <v>45448</v>
      </c>
      <c r="F95" s="8">
        <v>130000</v>
      </c>
      <c r="G95" s="8">
        <v>0</v>
      </c>
      <c r="H95" s="6">
        <v>1</v>
      </c>
      <c r="I95" s="6" t="s">
        <v>657</v>
      </c>
      <c r="J95" s="6" t="s">
        <v>696</v>
      </c>
    </row>
    <row r="96" spans="1:10" ht="409.5" x14ac:dyDescent="0.25">
      <c r="A96" s="6" t="str">
        <f>HYPERLINK("https://grants.gov/search-results-detail/353748","W81EWF-24-SOI-0022")</f>
        <v>W81EWF-24-SOI-0022</v>
      </c>
      <c r="B96" s="6" t="s">
        <v>263</v>
      </c>
      <c r="C96" s="6" t="s">
        <v>264</v>
      </c>
      <c r="D96" s="6" t="s">
        <v>265</v>
      </c>
      <c r="E96" s="7">
        <v>45461</v>
      </c>
      <c r="F96" s="8">
        <v>105400</v>
      </c>
      <c r="G96" s="8">
        <v>0</v>
      </c>
      <c r="H96" s="6">
        <v>1</v>
      </c>
      <c r="I96" s="6" t="s">
        <v>266</v>
      </c>
      <c r="J96" s="6" t="s">
        <v>267</v>
      </c>
    </row>
    <row r="97" spans="1:10" ht="405" x14ac:dyDescent="0.25">
      <c r="A97" s="6" t="str">
        <f>HYPERLINK("https://grants.gov/search-results-detail/352929","W912HZ23SC001")</f>
        <v>W912HZ23SC001</v>
      </c>
      <c r="B97" s="6" t="s">
        <v>1650</v>
      </c>
      <c r="C97" s="6" t="s">
        <v>299</v>
      </c>
      <c r="D97" s="6" t="s">
        <v>300</v>
      </c>
      <c r="E97" s="7">
        <v>45434</v>
      </c>
      <c r="F97" s="8">
        <v>999999999</v>
      </c>
      <c r="G97" s="8">
        <v>0</v>
      </c>
      <c r="I97" s="6" t="s">
        <v>96</v>
      </c>
      <c r="J97" s="6" t="s">
        <v>1651</v>
      </c>
    </row>
    <row r="98" spans="1:10" ht="409.5" x14ac:dyDescent="0.25">
      <c r="A98" s="6" t="str">
        <f>HYPERLINK("https://grants.gov/search-results-detail/353277","W81EWF-24-SOI-0018")</f>
        <v>W81EWF-24-SOI-0018</v>
      </c>
      <c r="B98" s="6" t="s">
        <v>1164</v>
      </c>
      <c r="C98" s="6" t="s">
        <v>299</v>
      </c>
      <c r="D98" s="6" t="s">
        <v>300</v>
      </c>
      <c r="E98" s="7">
        <v>45439</v>
      </c>
      <c r="F98" s="8">
        <v>94900</v>
      </c>
      <c r="G98" s="8">
        <v>0</v>
      </c>
      <c r="H98" s="6">
        <v>1</v>
      </c>
      <c r="I98" s="6" t="s">
        <v>657</v>
      </c>
      <c r="J98" s="6" t="s">
        <v>1165</v>
      </c>
    </row>
    <row r="99" spans="1:10" ht="405" x14ac:dyDescent="0.25">
      <c r="A99" s="6" t="str">
        <f>HYPERLINK("https://grants.gov/search-results-detail/353530","W81EWF-24-SOI-0023")</f>
        <v>W81EWF-24-SOI-0023</v>
      </c>
      <c r="B99" s="6" t="s">
        <v>661</v>
      </c>
      <c r="C99" s="6" t="s">
        <v>299</v>
      </c>
      <c r="D99" s="6" t="s">
        <v>300</v>
      </c>
      <c r="E99" s="7">
        <v>45446</v>
      </c>
      <c r="F99" s="8">
        <v>132000</v>
      </c>
      <c r="G99" s="8">
        <v>0</v>
      </c>
      <c r="H99" s="6">
        <v>1</v>
      </c>
      <c r="I99" s="6" t="s">
        <v>662</v>
      </c>
      <c r="J99" s="6" t="s">
        <v>663</v>
      </c>
    </row>
    <row r="100" spans="1:10" ht="409.5" x14ac:dyDescent="0.25">
      <c r="A100" s="6" t="str">
        <f>HYPERLINK("https://grants.gov/search-results-detail/353534","W81EWF-24-SOI-0025")</f>
        <v>W81EWF-24-SOI-0025</v>
      </c>
      <c r="B100" s="6" t="s">
        <v>641</v>
      </c>
      <c r="C100" s="6" t="s">
        <v>299</v>
      </c>
      <c r="D100" s="6" t="s">
        <v>300</v>
      </c>
      <c r="E100" s="7">
        <v>45448</v>
      </c>
      <c r="F100" s="8">
        <v>175000</v>
      </c>
      <c r="G100" s="8">
        <v>0</v>
      </c>
      <c r="H100" s="6">
        <v>1</v>
      </c>
      <c r="I100" s="6" t="s">
        <v>301</v>
      </c>
      <c r="J100" s="6" t="s">
        <v>642</v>
      </c>
    </row>
    <row r="101" spans="1:10" ht="360" x14ac:dyDescent="0.25">
      <c r="A101" s="6" t="str">
        <f>HYPERLINK("https://grants.gov/search-results-detail/353536","W81EWF-24-SOI-0026")</f>
        <v>W81EWF-24-SOI-0026</v>
      </c>
      <c r="B101" s="6" t="s">
        <v>656</v>
      </c>
      <c r="C101" s="6" t="s">
        <v>299</v>
      </c>
      <c r="D101" s="6" t="s">
        <v>300</v>
      </c>
      <c r="E101" s="7">
        <v>45448</v>
      </c>
      <c r="F101" s="8">
        <v>115000</v>
      </c>
      <c r="G101" s="8">
        <v>0</v>
      </c>
      <c r="H101" s="6">
        <v>1</v>
      </c>
      <c r="I101" s="6" t="s">
        <v>657</v>
      </c>
      <c r="J101" s="6" t="s">
        <v>658</v>
      </c>
    </row>
    <row r="102" spans="1:10" ht="330" x14ac:dyDescent="0.25">
      <c r="A102" s="6" t="str">
        <f>HYPERLINK("https://grants.gov/search-results-detail/353537","W81EWF-24-SOI-0027")</f>
        <v>W81EWF-24-SOI-0027</v>
      </c>
      <c r="B102" s="6" t="s">
        <v>659</v>
      </c>
      <c r="C102" s="6" t="s">
        <v>299</v>
      </c>
      <c r="D102" s="6" t="s">
        <v>300</v>
      </c>
      <c r="E102" s="7">
        <v>45448</v>
      </c>
      <c r="F102" s="8">
        <v>127000</v>
      </c>
      <c r="G102" s="8">
        <v>0</v>
      </c>
      <c r="H102" s="6">
        <v>1</v>
      </c>
      <c r="I102" s="6" t="s">
        <v>657</v>
      </c>
      <c r="J102" s="6" t="s">
        <v>660</v>
      </c>
    </row>
    <row r="103" spans="1:10" ht="330" x14ac:dyDescent="0.25">
      <c r="A103" s="6" t="str">
        <f>HYPERLINK("https://grants.gov/search-results-detail/353415","W81EWF-24-SOI-0019")</f>
        <v>W81EWF-24-SOI-0019</v>
      </c>
      <c r="B103" s="6" t="s">
        <v>864</v>
      </c>
      <c r="C103" s="6" t="s">
        <v>299</v>
      </c>
      <c r="D103" s="6" t="s">
        <v>300</v>
      </c>
      <c r="E103" s="7">
        <v>45449</v>
      </c>
      <c r="F103" s="8">
        <v>159000</v>
      </c>
      <c r="G103" s="8">
        <v>0</v>
      </c>
      <c r="H103" s="6">
        <v>1</v>
      </c>
      <c r="I103" s="6" t="s">
        <v>865</v>
      </c>
      <c r="J103" s="6" t="s">
        <v>866</v>
      </c>
    </row>
    <row r="104" spans="1:10" ht="330" x14ac:dyDescent="0.25">
      <c r="A104" s="6" t="str">
        <f>HYPERLINK("https://grants.gov/search-results-detail/353673","W81EWF-24-SOI-0024")</f>
        <v>W81EWF-24-SOI-0024</v>
      </c>
      <c r="B104" s="6" t="s">
        <v>389</v>
      </c>
      <c r="C104" s="6" t="s">
        <v>299</v>
      </c>
      <c r="D104" s="6" t="s">
        <v>300</v>
      </c>
      <c r="E104" s="7">
        <v>45453</v>
      </c>
      <c r="F104" s="8">
        <v>225000</v>
      </c>
      <c r="G104" s="8">
        <v>0</v>
      </c>
      <c r="H104" s="6">
        <v>1</v>
      </c>
      <c r="I104" s="6" t="s">
        <v>390</v>
      </c>
      <c r="J104" s="6" t="s">
        <v>391</v>
      </c>
    </row>
    <row r="105" spans="1:10" ht="409.5" x14ac:dyDescent="0.25">
      <c r="A105" s="6" t="str">
        <f>HYPERLINK("https://grants.gov/search-results-detail/353558","W81EWF-24-SOI-0028")</f>
        <v>W81EWF-24-SOI-0028</v>
      </c>
      <c r="B105" s="6" t="s">
        <v>606</v>
      </c>
      <c r="C105" s="6" t="s">
        <v>299</v>
      </c>
      <c r="D105" s="6" t="s">
        <v>300</v>
      </c>
      <c r="E105" s="7">
        <v>45453</v>
      </c>
      <c r="F105" s="8">
        <v>100000</v>
      </c>
      <c r="G105" s="8">
        <v>0</v>
      </c>
      <c r="H105" s="6">
        <v>1</v>
      </c>
      <c r="I105" s="6" t="s">
        <v>607</v>
      </c>
      <c r="J105" s="6" t="s">
        <v>608</v>
      </c>
    </row>
    <row r="106" spans="1:10" ht="330" x14ac:dyDescent="0.25">
      <c r="A106" s="6" t="str">
        <f>HYPERLINK("https://grants.gov/search-results-detail/353777","W81EWF-24-2-0029")</f>
        <v>W81EWF-24-2-0029</v>
      </c>
      <c r="B106" s="6" t="s">
        <v>298</v>
      </c>
      <c r="C106" s="6" t="s">
        <v>299</v>
      </c>
      <c r="D106" s="6" t="s">
        <v>300</v>
      </c>
      <c r="E106" s="7">
        <v>45467</v>
      </c>
      <c r="F106" s="8">
        <v>175000</v>
      </c>
      <c r="G106" s="8">
        <v>0</v>
      </c>
      <c r="H106" s="6">
        <v>1</v>
      </c>
      <c r="I106" s="6" t="s">
        <v>301</v>
      </c>
      <c r="J106" s="6" t="s">
        <v>302</v>
      </c>
    </row>
    <row r="107" spans="1:10" ht="409.5" x14ac:dyDescent="0.25">
      <c r="A107" s="6" t="str">
        <f>HYPERLINK("https://grants.gov/search-results-detail/353817","W9126G-24-2-SOL-2253")</f>
        <v>W9126G-24-2-SOL-2253</v>
      </c>
      <c r="B107" s="6" t="s">
        <v>165</v>
      </c>
      <c r="C107" s="6" t="s">
        <v>166</v>
      </c>
      <c r="D107" s="6" t="s">
        <v>167</v>
      </c>
      <c r="E107" s="7">
        <v>45437</v>
      </c>
      <c r="F107" s="8">
        <v>25000000</v>
      </c>
      <c r="G107" s="8">
        <v>14502485</v>
      </c>
      <c r="I107" s="6" t="s">
        <v>168</v>
      </c>
      <c r="J107" s="6" t="s">
        <v>169</v>
      </c>
    </row>
    <row r="108" spans="1:10" ht="270" x14ac:dyDescent="0.25">
      <c r="A108" s="6" t="str">
        <f>HYPERLINK("https://grants.gov/search-results-detail/353773","W912EF-24-2-RPA-0001")</f>
        <v>W912EF-24-2-RPA-0001</v>
      </c>
      <c r="B108" s="6" t="s">
        <v>293</v>
      </c>
      <c r="C108" s="6" t="s">
        <v>294</v>
      </c>
      <c r="D108" s="6" t="s">
        <v>295</v>
      </c>
      <c r="E108" s="7">
        <v>45436</v>
      </c>
      <c r="F108" s="8">
        <v>27000</v>
      </c>
      <c r="G108" s="8">
        <v>27000</v>
      </c>
      <c r="H108" s="6">
        <v>1</v>
      </c>
      <c r="I108" s="6" t="s">
        <v>296</v>
      </c>
      <c r="J108" s="6" t="s">
        <v>297</v>
      </c>
    </row>
    <row r="109" spans="1:10" ht="300" x14ac:dyDescent="0.25">
      <c r="A109" s="6" t="str">
        <f>HYPERLINK("https://grants.gov/search-results-detail/353643","HR001124S0025")</f>
        <v>HR001124S0025</v>
      </c>
      <c r="B109" s="6" t="s">
        <v>429</v>
      </c>
      <c r="C109" s="6" t="s">
        <v>79</v>
      </c>
      <c r="D109" s="6" t="s">
        <v>80</v>
      </c>
      <c r="E109" s="7">
        <v>45447</v>
      </c>
      <c r="F109" s="8" t="s">
        <v>18</v>
      </c>
      <c r="G109" s="8" t="s">
        <v>18</v>
      </c>
      <c r="I109" s="6" t="s">
        <v>81</v>
      </c>
      <c r="J109" s="6" t="s">
        <v>430</v>
      </c>
    </row>
    <row r="110" spans="1:10" ht="225" x14ac:dyDescent="0.25">
      <c r="A110" s="6" t="str">
        <f>HYPERLINK("https://grants.gov/search-results-detail/353362","HR001124S0024")</f>
        <v>HR001124S0024</v>
      </c>
      <c r="B110" s="6" t="s">
        <v>965</v>
      </c>
      <c r="C110" s="6" t="s">
        <v>79</v>
      </c>
      <c r="D110" s="6" t="s">
        <v>80</v>
      </c>
      <c r="E110" s="7">
        <v>45447</v>
      </c>
      <c r="F110" s="8" t="s">
        <v>18</v>
      </c>
      <c r="G110" s="8" t="s">
        <v>18</v>
      </c>
      <c r="I110" s="6" t="s">
        <v>81</v>
      </c>
      <c r="J110" s="6" t="s">
        <v>966</v>
      </c>
    </row>
    <row r="111" spans="1:10" ht="210" x14ac:dyDescent="0.25">
      <c r="A111" s="6" t="str">
        <f>HYPERLINK("https://grants.gov/search-results-detail/353867","DARPARA2402")</f>
        <v>DARPARA2402</v>
      </c>
      <c r="B111" s="6" t="s">
        <v>78</v>
      </c>
      <c r="C111" s="6" t="s">
        <v>79</v>
      </c>
      <c r="D111" s="6" t="s">
        <v>80</v>
      </c>
      <c r="E111" s="7">
        <v>45460</v>
      </c>
      <c r="F111" s="8" t="s">
        <v>18</v>
      </c>
      <c r="G111" s="8" t="s">
        <v>18</v>
      </c>
      <c r="I111" s="6" t="s">
        <v>81</v>
      </c>
      <c r="J111" s="6" t="s">
        <v>82</v>
      </c>
    </row>
    <row r="112" spans="1:10" ht="105" x14ac:dyDescent="0.25">
      <c r="A112" s="6" t="str">
        <f>HYPERLINK("https://grants.gov/search-results-detail/348869","HR001123S0045")</f>
        <v>HR001123S0045</v>
      </c>
      <c r="B112" s="6" t="s">
        <v>2253</v>
      </c>
      <c r="C112" s="6" t="s">
        <v>79</v>
      </c>
      <c r="D112" s="6" t="s">
        <v>80</v>
      </c>
      <c r="E112" s="7">
        <v>45463</v>
      </c>
      <c r="F112" s="8" t="s">
        <v>18</v>
      </c>
      <c r="G112" s="8" t="s">
        <v>18</v>
      </c>
      <c r="I112" s="6" t="s">
        <v>81</v>
      </c>
      <c r="J112" s="6" t="s">
        <v>2254</v>
      </c>
    </row>
    <row r="113" spans="1:10" ht="345" x14ac:dyDescent="0.25">
      <c r="A113" s="6" t="str">
        <f>HYPERLINK("https://grants.gov/search-results-detail/353515","HR001124S0018")</f>
        <v>HR001124S0018</v>
      </c>
      <c r="B113" s="6" t="s">
        <v>673</v>
      </c>
      <c r="C113" s="6" t="s">
        <v>674</v>
      </c>
      <c r="D113" s="6" t="s">
        <v>675</v>
      </c>
      <c r="E113" s="7">
        <v>45474</v>
      </c>
      <c r="F113" s="8" t="s">
        <v>18</v>
      </c>
      <c r="G113" s="8" t="s">
        <v>18</v>
      </c>
      <c r="I113" s="6" t="s">
        <v>81</v>
      </c>
      <c r="J113" s="6" t="s">
        <v>676</v>
      </c>
    </row>
    <row r="114" spans="1:10" ht="390" x14ac:dyDescent="0.25">
      <c r="A114" s="6" t="str">
        <f>HYPERLINK("https://grants.gov/search-results-detail/338733","HR001122S0030")</f>
        <v>HR001122S0030</v>
      </c>
      <c r="B114" s="6" t="s">
        <v>2534</v>
      </c>
      <c r="C114" s="6" t="s">
        <v>2204</v>
      </c>
      <c r="D114" s="6" t="s">
        <v>2205</v>
      </c>
      <c r="E114" s="7">
        <v>45459</v>
      </c>
      <c r="F114" s="8" t="s">
        <v>18</v>
      </c>
      <c r="G114" s="8" t="s">
        <v>18</v>
      </c>
      <c r="I114" s="6" t="s">
        <v>81</v>
      </c>
      <c r="J114" s="6" t="s">
        <v>2535</v>
      </c>
    </row>
    <row r="115" spans="1:10" ht="240" x14ac:dyDescent="0.25">
      <c r="A115" s="6" t="str">
        <f>HYPERLINK("https://grants.gov/search-results-detail/349816","DARPA-RA-23-02")</f>
        <v>DARPA-RA-23-02</v>
      </c>
      <c r="B115" s="6" t="s">
        <v>2203</v>
      </c>
      <c r="C115" s="6" t="s">
        <v>2204</v>
      </c>
      <c r="D115" s="6" t="s">
        <v>2205</v>
      </c>
      <c r="E115" s="7">
        <v>45513</v>
      </c>
      <c r="F115" s="8" t="s">
        <v>18</v>
      </c>
      <c r="G115" s="8" t="s">
        <v>18</v>
      </c>
      <c r="I115" s="6" t="s">
        <v>81</v>
      </c>
      <c r="J115" s="6" t="s">
        <v>2206</v>
      </c>
    </row>
    <row r="116" spans="1:10" ht="135" x14ac:dyDescent="0.25">
      <c r="A116" s="6" t="str">
        <f>HYPERLINK("https://grants.gov/search-results-detail/348781","HR001123S0042")</f>
        <v>HR001123S0042</v>
      </c>
      <c r="B116" s="6" t="s">
        <v>2272</v>
      </c>
      <c r="C116" s="6" t="s">
        <v>2273</v>
      </c>
      <c r="D116" s="6" t="s">
        <v>2274</v>
      </c>
      <c r="E116" s="7">
        <v>45457</v>
      </c>
      <c r="F116" s="8" t="s">
        <v>18</v>
      </c>
      <c r="G116" s="8" t="s">
        <v>18</v>
      </c>
      <c r="I116" s="6" t="s">
        <v>81</v>
      </c>
      <c r="J116" s="6" t="s">
        <v>2275</v>
      </c>
    </row>
    <row r="117" spans="1:10" ht="409.5" x14ac:dyDescent="0.25">
      <c r="A117" s="6" t="str">
        <f>HYPERLINK("https://grants.gov/search-results-detail/353268","OLDCC-24-F-0001")</f>
        <v>OLDCC-24-F-0001</v>
      </c>
      <c r="B117" s="6" t="s">
        <v>1178</v>
      </c>
      <c r="C117" s="6" t="s">
        <v>1179</v>
      </c>
      <c r="D117" s="6" t="s">
        <v>1180</v>
      </c>
      <c r="E117" s="7">
        <v>45460</v>
      </c>
      <c r="F117" s="8">
        <v>20000000</v>
      </c>
      <c r="G117" s="8">
        <v>250000</v>
      </c>
      <c r="I117" s="6" t="s">
        <v>1181</v>
      </c>
      <c r="J117" s="6" t="s">
        <v>1182</v>
      </c>
    </row>
    <row r="118" spans="1:10" ht="165" x14ac:dyDescent="0.25">
      <c r="A118" s="6" t="str">
        <f>HYPERLINK("https://grants.gov/search-results-detail/352529","N0001424SBC06")</f>
        <v>N0001424SBC06</v>
      </c>
      <c r="B118" s="6" t="s">
        <v>1817</v>
      </c>
      <c r="C118" s="6" t="s">
        <v>1818</v>
      </c>
      <c r="D118" s="6" t="s">
        <v>1819</v>
      </c>
      <c r="F118" s="8">
        <v>1000000</v>
      </c>
      <c r="G118" s="8">
        <v>0</v>
      </c>
      <c r="I118" s="6" t="s">
        <v>1820</v>
      </c>
      <c r="J118" s="6" t="s">
        <v>1821</v>
      </c>
    </row>
    <row r="119" spans="1:10" ht="135" x14ac:dyDescent="0.25">
      <c r="A119" s="6" t="str">
        <f>HYPERLINK("https://grants.gov/search-results-detail/348910","N00421-23-S-0001")</f>
        <v>N00421-23-S-0001</v>
      </c>
      <c r="B119" s="6" t="s">
        <v>2249</v>
      </c>
      <c r="C119" s="6" t="s">
        <v>2250</v>
      </c>
      <c r="D119" s="6" t="s">
        <v>2251</v>
      </c>
      <c r="E119" s="7">
        <v>45465</v>
      </c>
      <c r="F119" s="8" t="s">
        <v>18</v>
      </c>
      <c r="G119" s="8" t="s">
        <v>18</v>
      </c>
      <c r="I119" s="6" t="s">
        <v>96</v>
      </c>
      <c r="J119" s="6" t="s">
        <v>2252</v>
      </c>
    </row>
    <row r="120" spans="1:10" ht="409.5" x14ac:dyDescent="0.25">
      <c r="A120" s="6" t="str">
        <f>HYPERLINK("https://grants.gov/search-results-detail/353811","N62473-24-2-0008")</f>
        <v>N62473-24-2-0008</v>
      </c>
      <c r="B120" s="6" t="s">
        <v>231</v>
      </c>
      <c r="C120" s="6" t="s">
        <v>232</v>
      </c>
      <c r="D120" s="6" t="s">
        <v>233</v>
      </c>
      <c r="E120" s="7">
        <v>45440</v>
      </c>
      <c r="F120" s="8">
        <v>76983</v>
      </c>
      <c r="G120" s="8" t="s">
        <v>18</v>
      </c>
      <c r="H120" s="6">
        <v>1</v>
      </c>
      <c r="I120" s="6" t="s">
        <v>234</v>
      </c>
      <c r="J120" s="6" t="s">
        <v>235</v>
      </c>
    </row>
    <row r="121" spans="1:10" ht="409.5" x14ac:dyDescent="0.25">
      <c r="A121" s="6" t="str">
        <f>HYPERLINK("https://grants.gov/search-results-detail/353812","N62473-24-2-0009")</f>
        <v>N62473-24-2-0009</v>
      </c>
      <c r="B121" s="6" t="s">
        <v>236</v>
      </c>
      <c r="C121" s="6" t="s">
        <v>232</v>
      </c>
      <c r="D121" s="6" t="s">
        <v>233</v>
      </c>
      <c r="E121" s="7">
        <v>45440</v>
      </c>
      <c r="F121" s="8">
        <v>71960</v>
      </c>
      <c r="G121" s="8" t="s">
        <v>18</v>
      </c>
      <c r="H121" s="6">
        <v>2</v>
      </c>
      <c r="I121" s="6" t="s">
        <v>234</v>
      </c>
      <c r="J121" s="6" t="s">
        <v>237</v>
      </c>
    </row>
    <row r="122" spans="1:10" ht="409.5" x14ac:dyDescent="0.25">
      <c r="A122" s="6" t="str">
        <f>HYPERLINK("https://grants.gov/search-results-detail/348612","N66001-23-S-4702")</f>
        <v>N66001-23-S-4702</v>
      </c>
      <c r="B122" s="6" t="s">
        <v>2276</v>
      </c>
      <c r="C122" s="6" t="s">
        <v>2277</v>
      </c>
      <c r="D122" s="6" t="s">
        <v>2278</v>
      </c>
      <c r="E122" s="7">
        <v>45450</v>
      </c>
      <c r="F122" s="8">
        <v>0</v>
      </c>
      <c r="G122" s="8">
        <v>0</v>
      </c>
      <c r="I122" s="6" t="s">
        <v>2279</v>
      </c>
      <c r="J122" s="6" t="s">
        <v>2280</v>
      </c>
    </row>
    <row r="123" spans="1:10" ht="105" x14ac:dyDescent="0.25">
      <c r="A123" s="6" t="str">
        <f>HYPERLINK("https://grants.gov/search-results-detail/292151","N00173-17-S-BA01")</f>
        <v>N00173-17-S-BA01</v>
      </c>
      <c r="B123" s="6" t="s">
        <v>2891</v>
      </c>
      <c r="C123" s="6" t="s">
        <v>2892</v>
      </c>
      <c r="D123" s="6" t="s">
        <v>2893</v>
      </c>
      <c r="F123" s="8">
        <v>0</v>
      </c>
      <c r="G123" s="8">
        <v>0</v>
      </c>
      <c r="I123" s="6" t="s">
        <v>96</v>
      </c>
      <c r="J123" s="6" t="s">
        <v>2894</v>
      </c>
    </row>
    <row r="124" spans="1:10" ht="409.5" x14ac:dyDescent="0.25">
      <c r="A124" s="6" t="str">
        <f>HYPERLINK("https://grants.gov/search-results-detail/330175","FA7000-21-S-0001")</f>
        <v>FA7000-21-S-0001</v>
      </c>
      <c r="B124" s="6" t="s">
        <v>2721</v>
      </c>
      <c r="C124" s="6" t="s">
        <v>2722</v>
      </c>
      <c r="D124" s="6" t="s">
        <v>2723</v>
      </c>
      <c r="F124" s="8">
        <v>99000000</v>
      </c>
      <c r="G124" s="8">
        <v>0</v>
      </c>
      <c r="I124" s="6" t="s">
        <v>2724</v>
      </c>
      <c r="J124" s="6" t="s">
        <v>2725</v>
      </c>
    </row>
    <row r="125" spans="1:10" ht="409.5" x14ac:dyDescent="0.25">
      <c r="A125" s="6" t="str">
        <f>HYPERLINK("https://grants.gov/search-results-detail/351269","HQ003423NFOEASD16")</f>
        <v>HQ003423NFOEASD16</v>
      </c>
      <c r="B125" s="6" t="s">
        <v>2080</v>
      </c>
      <c r="C125" s="6" t="s">
        <v>2081</v>
      </c>
      <c r="D125" s="6" t="s">
        <v>2082</v>
      </c>
      <c r="E125" s="7">
        <v>45427</v>
      </c>
      <c r="F125" s="8">
        <v>10000000</v>
      </c>
      <c r="G125" s="8">
        <v>0</v>
      </c>
      <c r="H125" s="6">
        <v>1</v>
      </c>
      <c r="I125" s="6" t="s">
        <v>2083</v>
      </c>
      <c r="J125" s="6" t="s">
        <v>2084</v>
      </c>
    </row>
    <row r="126" spans="1:10" ht="240" x14ac:dyDescent="0.25">
      <c r="A126" s="6" t="str">
        <f>HYPERLINK("https://grants.gov/search-results-detail/348830","HQ003423NFOEASD07")</f>
        <v>HQ003423NFOEASD07</v>
      </c>
      <c r="B126" s="6" t="s">
        <v>2261</v>
      </c>
      <c r="C126" s="6" t="s">
        <v>2081</v>
      </c>
      <c r="D126" s="6" t="s">
        <v>2082</v>
      </c>
      <c r="E126" s="7">
        <v>45463</v>
      </c>
      <c r="F126" s="8">
        <v>30000000</v>
      </c>
      <c r="G126" s="8">
        <v>0</v>
      </c>
      <c r="I126" s="6" t="s">
        <v>2262</v>
      </c>
      <c r="J126" s="6" t="s">
        <v>2263</v>
      </c>
    </row>
    <row r="127" spans="1:10" ht="45" x14ac:dyDescent="0.25">
      <c r="A127" s="6" t="str">
        <f>HYPERLINK("https://grants.gov/search-results-detail/224533","FOA-ALL")</f>
        <v>FOA-ALL</v>
      </c>
      <c r="B127" s="6" t="s">
        <v>2981</v>
      </c>
      <c r="C127" s="6" t="s">
        <v>2982</v>
      </c>
      <c r="D127" s="6" t="s">
        <v>2983</v>
      </c>
      <c r="F127" s="8">
        <v>0</v>
      </c>
      <c r="G127" s="8">
        <v>0</v>
      </c>
      <c r="H127" s="6">
        <v>0</v>
      </c>
      <c r="I127" s="6" t="s">
        <v>2984</v>
      </c>
      <c r="J127" s="6" t="s">
        <v>2985</v>
      </c>
    </row>
    <row r="128" spans="1:10" ht="409.5" x14ac:dyDescent="0.25">
      <c r="A128" s="6" t="str">
        <f>HYPERLINK("https://grants.gov/search-results-detail/351784","DE-FOA-0003240")</f>
        <v>DE-FOA-0003240</v>
      </c>
      <c r="B128" s="6" t="s">
        <v>1995</v>
      </c>
      <c r="C128" s="6" t="s">
        <v>868</v>
      </c>
      <c r="D128" s="6" t="s">
        <v>869</v>
      </c>
      <c r="E128" s="7">
        <v>45433</v>
      </c>
      <c r="F128" s="8">
        <v>7000000</v>
      </c>
      <c r="G128" s="8">
        <v>1000000</v>
      </c>
      <c r="H128" s="6">
        <v>0</v>
      </c>
      <c r="I128" s="6" t="s">
        <v>1939</v>
      </c>
      <c r="J128" s="6" t="s">
        <v>1996</v>
      </c>
    </row>
    <row r="129" spans="1:10" ht="409.5" x14ac:dyDescent="0.25">
      <c r="A129" s="6" t="str">
        <f>HYPERLINK("https://grants.gov/search-results-detail/352124","DE-FOA-0003303")</f>
        <v>DE-FOA-0003303</v>
      </c>
      <c r="B129" s="6" t="s">
        <v>1938</v>
      </c>
      <c r="C129" s="6" t="s">
        <v>868</v>
      </c>
      <c r="D129" s="6" t="s">
        <v>869</v>
      </c>
      <c r="E129" s="7">
        <v>45441</v>
      </c>
      <c r="F129" s="8">
        <v>5000000</v>
      </c>
      <c r="G129" s="8">
        <v>500000</v>
      </c>
      <c r="H129" s="6">
        <v>0</v>
      </c>
      <c r="I129" s="6" t="s">
        <v>1939</v>
      </c>
      <c r="J129" s="6" t="s">
        <v>1940</v>
      </c>
    </row>
    <row r="130" spans="1:10" ht="375" x14ac:dyDescent="0.25">
      <c r="A130" s="6" t="str">
        <f>HYPERLINK("https://grants.gov/search-results-detail/353417","DE-FOA-0003359")</f>
        <v>DE-FOA-0003359</v>
      </c>
      <c r="B130" s="6" t="s">
        <v>867</v>
      </c>
      <c r="C130" s="6" t="s">
        <v>868</v>
      </c>
      <c r="D130" s="6" t="s">
        <v>869</v>
      </c>
      <c r="E130" s="7">
        <v>45443</v>
      </c>
      <c r="F130" s="8">
        <v>0</v>
      </c>
      <c r="G130" s="8">
        <v>0</v>
      </c>
      <c r="H130" s="6">
        <v>0</v>
      </c>
      <c r="I130" s="6" t="s">
        <v>870</v>
      </c>
      <c r="J130" s="6" t="s">
        <v>871</v>
      </c>
    </row>
    <row r="131" spans="1:10" ht="409.5" x14ac:dyDescent="0.25">
      <c r="A131" s="6" t="str">
        <f>HYPERLINK("https://grants.gov/search-results-detail/343476","DE-FOA-0002784")</f>
        <v>DE-FOA-0002784</v>
      </c>
      <c r="B131" s="6" t="s">
        <v>2465</v>
      </c>
      <c r="C131" s="6" t="s">
        <v>868</v>
      </c>
      <c r="D131" s="6" t="s">
        <v>869</v>
      </c>
      <c r="E131" s="7">
        <v>45450</v>
      </c>
      <c r="F131" s="8">
        <v>3000000</v>
      </c>
      <c r="G131" s="8">
        <v>1000000</v>
      </c>
      <c r="H131" s="6">
        <v>0</v>
      </c>
      <c r="I131" s="6" t="s">
        <v>2466</v>
      </c>
      <c r="J131" s="6" t="s">
        <v>2467</v>
      </c>
    </row>
    <row r="132" spans="1:10" ht="409.5" x14ac:dyDescent="0.25">
      <c r="A132" s="6" t="str">
        <f>HYPERLINK("https://grants.gov/search-results-detail/351025","DE-FOA-0003103")</f>
        <v>DE-FOA-0003103</v>
      </c>
      <c r="B132" s="6" t="s">
        <v>2112</v>
      </c>
      <c r="C132" s="6" t="s">
        <v>189</v>
      </c>
      <c r="D132" s="6" t="s">
        <v>190</v>
      </c>
      <c r="E132" s="7">
        <v>45429</v>
      </c>
      <c r="F132" s="8">
        <v>4000000</v>
      </c>
      <c r="G132" s="8">
        <v>750000</v>
      </c>
      <c r="H132" s="6">
        <v>7</v>
      </c>
      <c r="I132" s="6" t="s">
        <v>2113</v>
      </c>
      <c r="J132" s="6" t="s">
        <v>2114</v>
      </c>
    </row>
    <row r="133" spans="1:10" ht="405" x14ac:dyDescent="0.25">
      <c r="A133" s="6" t="str">
        <f>HYPERLINK("https://grants.gov/search-results-detail/352584","DE-FOA-0003178")</f>
        <v>DE-FOA-0003178</v>
      </c>
      <c r="B133" s="6" t="s">
        <v>1797</v>
      </c>
      <c r="C133" s="6" t="s">
        <v>189</v>
      </c>
      <c r="D133" s="6" t="s">
        <v>190</v>
      </c>
      <c r="E133" s="7">
        <v>45436</v>
      </c>
      <c r="F133" s="8">
        <v>9400000</v>
      </c>
      <c r="G133" s="8">
        <v>1</v>
      </c>
      <c r="H133" s="6">
        <v>5</v>
      </c>
      <c r="I133" s="6" t="s">
        <v>1798</v>
      </c>
      <c r="J133" s="6" t="s">
        <v>1799</v>
      </c>
    </row>
    <row r="134" spans="1:10" ht="409.5" x14ac:dyDescent="0.25">
      <c r="A134" s="6" t="str">
        <f>HYPERLINK("https://grants.gov/search-results-detail/352663","DE-FOA-0003229")</f>
        <v>DE-FOA-0003229</v>
      </c>
      <c r="B134" s="6" t="s">
        <v>1778</v>
      </c>
      <c r="C134" s="6" t="s">
        <v>189</v>
      </c>
      <c r="D134" s="6" t="s">
        <v>190</v>
      </c>
      <c r="E134" s="7">
        <v>45443</v>
      </c>
      <c r="F134" s="8">
        <v>3600000</v>
      </c>
      <c r="G134" s="8">
        <v>900000</v>
      </c>
      <c r="H134" s="6">
        <v>0</v>
      </c>
      <c r="I134" s="6" t="s">
        <v>1779</v>
      </c>
      <c r="J134" s="6" t="s">
        <v>1780</v>
      </c>
    </row>
    <row r="135" spans="1:10" ht="409.5" x14ac:dyDescent="0.25">
      <c r="A135" s="6" t="str">
        <f>HYPERLINK("https://grants.gov/search-results-detail/352767","DE-FOA-0003225")</f>
        <v>DE-FOA-0003225</v>
      </c>
      <c r="B135" s="6" t="s">
        <v>1736</v>
      </c>
      <c r="C135" s="6" t="s">
        <v>189</v>
      </c>
      <c r="D135" s="6" t="s">
        <v>190</v>
      </c>
      <c r="E135" s="7">
        <v>45449</v>
      </c>
      <c r="F135" s="8">
        <v>10000000</v>
      </c>
      <c r="G135" s="8">
        <v>500000</v>
      </c>
      <c r="H135" s="6">
        <v>40</v>
      </c>
      <c r="I135" s="6" t="s">
        <v>8</v>
      </c>
      <c r="J135" s="6" t="s">
        <v>1737</v>
      </c>
    </row>
    <row r="136" spans="1:10" ht="315" x14ac:dyDescent="0.25">
      <c r="A136" s="6" t="str">
        <f>HYPERLINK("https://grants.gov/search-results-detail/352003","DE-FOA-0003219")</f>
        <v>DE-FOA-0003219</v>
      </c>
      <c r="B136" s="6" t="s">
        <v>1961</v>
      </c>
      <c r="C136" s="6" t="s">
        <v>189</v>
      </c>
      <c r="D136" s="6" t="s">
        <v>190</v>
      </c>
      <c r="E136" s="7">
        <v>45454</v>
      </c>
      <c r="F136" s="8">
        <v>7000000</v>
      </c>
      <c r="G136" s="8">
        <v>500000</v>
      </c>
      <c r="H136" s="6">
        <v>36</v>
      </c>
      <c r="I136" s="6" t="s">
        <v>1962</v>
      </c>
      <c r="J136" s="6" t="s">
        <v>1963</v>
      </c>
    </row>
    <row r="137" spans="1:10" ht="409.5" x14ac:dyDescent="0.25">
      <c r="A137" s="6" t="str">
        <f>HYPERLINK("https://grants.gov/search-results-detail/353070","DE-FOA-0003325")</f>
        <v>DE-FOA-0003325</v>
      </c>
      <c r="B137" s="6" t="s">
        <v>1423</v>
      </c>
      <c r="C137" s="6" t="s">
        <v>189</v>
      </c>
      <c r="D137" s="6" t="s">
        <v>190</v>
      </c>
      <c r="E137" s="7">
        <v>45456</v>
      </c>
      <c r="F137" s="8">
        <v>15000000</v>
      </c>
      <c r="G137" s="8">
        <v>300000</v>
      </c>
      <c r="H137" s="6">
        <v>0</v>
      </c>
      <c r="I137" s="6" t="s">
        <v>1424</v>
      </c>
      <c r="J137" s="6" t="s">
        <v>1425</v>
      </c>
    </row>
    <row r="138" spans="1:10" ht="409.5" x14ac:dyDescent="0.25">
      <c r="A138" s="6" t="str">
        <f>HYPERLINK("https://grants.gov/search-results-detail/352261","DE-FOA-0003209")</f>
        <v>DE-FOA-0003209</v>
      </c>
      <c r="B138" s="6" t="s">
        <v>1923</v>
      </c>
      <c r="C138" s="6" t="s">
        <v>189</v>
      </c>
      <c r="D138" s="6" t="s">
        <v>190</v>
      </c>
      <c r="E138" s="7">
        <v>45456</v>
      </c>
      <c r="F138" s="8">
        <v>10000000</v>
      </c>
      <c r="G138" s="8">
        <v>5000000</v>
      </c>
      <c r="H138" s="6">
        <v>5</v>
      </c>
      <c r="I138" s="6" t="s">
        <v>1924</v>
      </c>
      <c r="J138" s="6" t="s">
        <v>1925</v>
      </c>
    </row>
    <row r="139" spans="1:10" ht="409.5" x14ac:dyDescent="0.25">
      <c r="A139" s="6" t="str">
        <f>HYPERLINK("https://grants.gov/search-results-detail/353481","DE-FOA-0003274")</f>
        <v>DE-FOA-0003274</v>
      </c>
      <c r="B139" s="6" t="s">
        <v>743</v>
      </c>
      <c r="C139" s="6" t="s">
        <v>189</v>
      </c>
      <c r="D139" s="6" t="s">
        <v>190</v>
      </c>
      <c r="E139" s="7">
        <v>45470</v>
      </c>
      <c r="F139" s="8">
        <v>3000000</v>
      </c>
      <c r="G139" s="8">
        <v>1000000</v>
      </c>
      <c r="H139" s="6">
        <v>6</v>
      </c>
      <c r="I139" s="6" t="s">
        <v>744</v>
      </c>
      <c r="J139" s="6" t="s">
        <v>745</v>
      </c>
    </row>
    <row r="140" spans="1:10" ht="150" x14ac:dyDescent="0.25">
      <c r="A140" s="6" t="str">
        <f>HYPERLINK("https://grants.gov/search-results-detail/353529","DE-FOA-0003328")</f>
        <v>DE-FOA-0003328</v>
      </c>
      <c r="B140" s="6" t="s">
        <v>669</v>
      </c>
      <c r="C140" s="6" t="s">
        <v>189</v>
      </c>
      <c r="D140" s="6" t="s">
        <v>190</v>
      </c>
      <c r="E140" s="7">
        <v>45471</v>
      </c>
      <c r="F140" s="8">
        <v>2</v>
      </c>
      <c r="G140" s="8">
        <v>1</v>
      </c>
      <c r="H140" s="6">
        <v>0</v>
      </c>
      <c r="I140" s="6" t="s">
        <v>670</v>
      </c>
      <c r="J140" s="6" t="s">
        <v>669</v>
      </c>
    </row>
    <row r="141" spans="1:10" ht="409.5" x14ac:dyDescent="0.25">
      <c r="A141" s="6" t="str">
        <f>HYPERLINK("https://grants.gov/search-results-detail/353053","DE-FOA-0003246")</f>
        <v>DE-FOA-0003246</v>
      </c>
      <c r="B141" s="6" t="s">
        <v>1471</v>
      </c>
      <c r="C141" s="6" t="s">
        <v>189</v>
      </c>
      <c r="D141" s="6" t="s">
        <v>190</v>
      </c>
      <c r="E141" s="7">
        <v>45471</v>
      </c>
      <c r="F141" s="8">
        <v>2500000</v>
      </c>
      <c r="G141" s="8">
        <v>1000000</v>
      </c>
      <c r="H141" s="6">
        <v>10</v>
      </c>
      <c r="I141" s="6" t="s">
        <v>1472</v>
      </c>
      <c r="J141" s="6" t="s">
        <v>1473</v>
      </c>
    </row>
    <row r="142" spans="1:10" ht="409.5" x14ac:dyDescent="0.25">
      <c r="A142" s="6" t="str">
        <f>HYPERLINK("https://grants.gov/search-results-detail/353776","DE-FOA-0003315")</f>
        <v>DE-FOA-0003315</v>
      </c>
      <c r="B142" s="6" t="s">
        <v>303</v>
      </c>
      <c r="C142" s="6" t="s">
        <v>189</v>
      </c>
      <c r="D142" s="6" t="s">
        <v>190</v>
      </c>
      <c r="E142" s="7">
        <v>45503</v>
      </c>
      <c r="F142" s="8">
        <v>0</v>
      </c>
      <c r="G142" s="8">
        <v>0</v>
      </c>
      <c r="H142" s="6">
        <v>0</v>
      </c>
      <c r="I142" s="6" t="s">
        <v>96</v>
      </c>
      <c r="J142" s="6" t="s">
        <v>304</v>
      </c>
    </row>
    <row r="143" spans="1:10" ht="150" x14ac:dyDescent="0.25">
      <c r="A143" s="6" t="str">
        <f>HYPERLINK("https://grants.gov/search-results-detail/353400","DE-FOA-0003269")</f>
        <v>DE-FOA-0003269</v>
      </c>
      <c r="B143" s="6" t="s">
        <v>921</v>
      </c>
      <c r="C143" s="6" t="s">
        <v>189</v>
      </c>
      <c r="D143" s="6" t="s">
        <v>190</v>
      </c>
      <c r="E143" s="7">
        <v>45512</v>
      </c>
      <c r="F143" s="8">
        <v>10000000</v>
      </c>
      <c r="G143" s="8">
        <v>750000</v>
      </c>
      <c r="H143" s="6">
        <v>10</v>
      </c>
      <c r="I143" s="6" t="s">
        <v>96</v>
      </c>
      <c r="J143" s="6" t="s">
        <v>922</v>
      </c>
    </row>
    <row r="144" spans="1:10" ht="409.5" x14ac:dyDescent="0.25">
      <c r="A144" s="6" t="str">
        <f>HYPERLINK("https://grants.gov/search-results-detail/353800","DE-FOA-0003072")</f>
        <v>DE-FOA-0003072</v>
      </c>
      <c r="B144" s="6" t="s">
        <v>188</v>
      </c>
      <c r="C144" s="6" t="s">
        <v>189</v>
      </c>
      <c r="D144" s="6" t="s">
        <v>190</v>
      </c>
      <c r="E144" s="7">
        <v>45518</v>
      </c>
      <c r="F144" s="8">
        <v>2000000</v>
      </c>
      <c r="G144" s="8">
        <v>750000</v>
      </c>
      <c r="H144" s="6">
        <v>10</v>
      </c>
      <c r="I144" s="6" t="s">
        <v>191</v>
      </c>
      <c r="J144" s="6" t="s">
        <v>192</v>
      </c>
    </row>
    <row r="145" spans="1:10" ht="120" x14ac:dyDescent="0.25">
      <c r="A145" s="6" t="str">
        <f>HYPERLINK("https://grants.gov/search-results-detail/280970","DE-SOL-0008318")</f>
        <v>DE-SOL-0008318</v>
      </c>
      <c r="B145" s="6" t="s">
        <v>2910</v>
      </c>
      <c r="C145" s="6" t="s">
        <v>2911</v>
      </c>
      <c r="D145" s="6" t="s">
        <v>2912</v>
      </c>
      <c r="F145" s="8">
        <v>0</v>
      </c>
      <c r="G145" s="8">
        <v>0</v>
      </c>
      <c r="H145" s="6">
        <v>0</v>
      </c>
      <c r="I145" s="6" t="s">
        <v>274</v>
      </c>
      <c r="J145" s="6" t="s">
        <v>2913</v>
      </c>
    </row>
    <row r="146" spans="1:10" ht="165" x14ac:dyDescent="0.25">
      <c r="A146" s="6" t="str">
        <f>HYPERLINK("https://grants.gov/search-results-detail/280932","DE-SOL-0008246")</f>
        <v>DE-SOL-0008246</v>
      </c>
      <c r="B146" s="6" t="s">
        <v>2914</v>
      </c>
      <c r="C146" s="6" t="s">
        <v>2911</v>
      </c>
      <c r="D146" s="6" t="s">
        <v>2912</v>
      </c>
      <c r="F146" s="8">
        <v>0</v>
      </c>
      <c r="G146" s="8">
        <v>0</v>
      </c>
      <c r="H146" s="6">
        <v>0</v>
      </c>
      <c r="I146" s="6" t="s">
        <v>338</v>
      </c>
      <c r="J146" s="6" t="s">
        <v>2915</v>
      </c>
    </row>
    <row r="147" spans="1:10" ht="225" x14ac:dyDescent="0.25">
      <c r="A147" s="6" t="str">
        <f>HYPERLINK("https://grants.gov/search-results-detail/353587","DE-FOA-0003360")</f>
        <v>DE-FOA-0003360</v>
      </c>
      <c r="B147" s="6" t="s">
        <v>507</v>
      </c>
      <c r="C147" s="6" t="s">
        <v>109</v>
      </c>
      <c r="D147" s="6" t="s">
        <v>110</v>
      </c>
      <c r="E147" s="7">
        <v>45432</v>
      </c>
      <c r="F147" s="8">
        <v>2</v>
      </c>
      <c r="G147" s="8">
        <v>1</v>
      </c>
      <c r="I147" s="6" t="s">
        <v>508</v>
      </c>
      <c r="J147" s="6" t="s">
        <v>509</v>
      </c>
    </row>
    <row r="148" spans="1:10" ht="300" x14ac:dyDescent="0.25">
      <c r="A148" s="6" t="str">
        <f>HYPERLINK("https://grants.gov/search-results-detail/353734","DE-FOA-0003352")</f>
        <v>DE-FOA-0003352</v>
      </c>
      <c r="B148" s="6" t="s">
        <v>355</v>
      </c>
      <c r="C148" s="6" t="s">
        <v>109</v>
      </c>
      <c r="D148" s="6" t="s">
        <v>110</v>
      </c>
      <c r="E148" s="7">
        <v>45443</v>
      </c>
      <c r="F148" s="8">
        <v>2</v>
      </c>
      <c r="G148" s="8">
        <v>1</v>
      </c>
      <c r="H148" s="6">
        <v>0</v>
      </c>
      <c r="I148" s="6" t="s">
        <v>96</v>
      </c>
      <c r="J148" s="6" t="s">
        <v>356</v>
      </c>
    </row>
    <row r="149" spans="1:10" ht="195" x14ac:dyDescent="0.25">
      <c r="A149" s="6" t="str">
        <f>HYPERLINK("https://grants.gov/search-results-detail/353859","DE-FOA-0003282")</f>
        <v>DE-FOA-0003282</v>
      </c>
      <c r="B149" s="6" t="s">
        <v>108</v>
      </c>
      <c r="C149" s="6" t="s">
        <v>109</v>
      </c>
      <c r="D149" s="6" t="s">
        <v>110</v>
      </c>
      <c r="E149" s="7">
        <v>45446</v>
      </c>
      <c r="F149" s="8">
        <v>2</v>
      </c>
      <c r="G149" s="8">
        <v>1</v>
      </c>
      <c r="H149" s="6">
        <v>0</v>
      </c>
      <c r="I149" s="6" t="s">
        <v>96</v>
      </c>
      <c r="J149" s="6" t="s">
        <v>111</v>
      </c>
    </row>
    <row r="150" spans="1:10" ht="225" x14ac:dyDescent="0.25">
      <c r="A150" s="6" t="str">
        <f>HYPERLINK("https://grants.gov/search-results-detail/353757","DE-FOA-0003077")</f>
        <v>DE-FOA-0003077</v>
      </c>
      <c r="B150" s="6" t="s">
        <v>281</v>
      </c>
      <c r="C150" s="6" t="s">
        <v>109</v>
      </c>
      <c r="D150" s="6" t="s">
        <v>110</v>
      </c>
      <c r="E150" s="7">
        <v>45467</v>
      </c>
      <c r="F150" s="8">
        <v>7500000</v>
      </c>
      <c r="G150" s="8">
        <v>1</v>
      </c>
      <c r="H150" s="6">
        <v>8</v>
      </c>
      <c r="I150" s="6" t="s">
        <v>282</v>
      </c>
      <c r="J150" s="6" t="s">
        <v>283</v>
      </c>
    </row>
    <row r="151" spans="1:10" ht="105" x14ac:dyDescent="0.25">
      <c r="A151" s="6" t="str">
        <f>HYPERLINK("https://grants.gov/search-results-detail/353401","DE-FOA-0003248")</f>
        <v>DE-FOA-0003248</v>
      </c>
      <c r="B151" s="6" t="s">
        <v>958</v>
      </c>
      <c r="C151" s="6" t="s">
        <v>109</v>
      </c>
      <c r="D151" s="6" t="s">
        <v>110</v>
      </c>
      <c r="E151" s="7">
        <v>45467</v>
      </c>
      <c r="F151" s="8">
        <v>10000000</v>
      </c>
      <c r="G151" s="8">
        <v>1</v>
      </c>
      <c r="H151" s="6">
        <v>28</v>
      </c>
      <c r="I151" s="6" t="s">
        <v>282</v>
      </c>
      <c r="J151" s="6" t="s">
        <v>959</v>
      </c>
    </row>
    <row r="152" spans="1:10" ht="409.5" x14ac:dyDescent="0.25">
      <c r="A152" s="6" t="str">
        <f>HYPERLINK("https://grants.gov/search-results-detail/352877","DE-FOA-0003294")</f>
        <v>DE-FOA-0003294</v>
      </c>
      <c r="B152" s="6" t="s">
        <v>1683</v>
      </c>
      <c r="C152" s="6" t="s">
        <v>109</v>
      </c>
      <c r="D152" s="6" t="s">
        <v>110</v>
      </c>
      <c r="E152" s="7">
        <v>45474</v>
      </c>
      <c r="F152" s="8">
        <v>100000000</v>
      </c>
      <c r="G152" s="8">
        <v>1</v>
      </c>
      <c r="H152" s="6">
        <v>25</v>
      </c>
      <c r="I152" s="6" t="s">
        <v>1684</v>
      </c>
      <c r="J152" s="6" t="s">
        <v>1685</v>
      </c>
    </row>
    <row r="153" spans="1:10" ht="195" x14ac:dyDescent="0.25">
      <c r="A153" s="6" t="str">
        <f>HYPERLINK("https://grants.gov/search-results-detail/353562","DE-FOA-0003214")</f>
        <v>DE-FOA-0003214</v>
      </c>
      <c r="B153" s="6" t="s">
        <v>612</v>
      </c>
      <c r="C153" s="6" t="s">
        <v>109</v>
      </c>
      <c r="D153" s="6" t="s">
        <v>110</v>
      </c>
      <c r="E153" s="7">
        <v>45489</v>
      </c>
      <c r="F153" s="8">
        <v>4000000</v>
      </c>
      <c r="G153" s="8">
        <v>1</v>
      </c>
      <c r="H153" s="6">
        <v>41</v>
      </c>
      <c r="I153" s="6" t="s">
        <v>613</v>
      </c>
      <c r="J153" s="6" t="s">
        <v>614</v>
      </c>
    </row>
    <row r="154" spans="1:10" ht="409.5" x14ac:dyDescent="0.25">
      <c r="A154" s="6" t="str">
        <f>HYPERLINK("https://grants.gov/search-results-detail/352722","DE-FOA-0003242")</f>
        <v>DE-FOA-0003242</v>
      </c>
      <c r="B154" s="6" t="s">
        <v>1743</v>
      </c>
      <c r="C154" s="6" t="s">
        <v>1744</v>
      </c>
      <c r="D154" s="6" t="s">
        <v>1745</v>
      </c>
      <c r="E154" s="7">
        <v>45463</v>
      </c>
      <c r="F154" s="8">
        <v>300000</v>
      </c>
      <c r="G154" s="8">
        <v>50000</v>
      </c>
      <c r="H154" s="6">
        <v>30</v>
      </c>
      <c r="I154" s="6" t="s">
        <v>1746</v>
      </c>
      <c r="J154" s="6" t="s">
        <v>1747</v>
      </c>
    </row>
    <row r="155" spans="1:10" ht="150" x14ac:dyDescent="0.25">
      <c r="A155" s="6" t="str">
        <f>HYPERLINK("https://grants.gov/search-results-detail/353402","OIAOIA-EIC2400538")</f>
        <v>OIAOIA-EIC2400538</v>
      </c>
      <c r="B155" s="6" t="s">
        <v>929</v>
      </c>
      <c r="C155" s="6" t="s">
        <v>930</v>
      </c>
      <c r="D155" s="6" t="s">
        <v>931</v>
      </c>
      <c r="E155" s="7">
        <v>45457</v>
      </c>
      <c r="F155" s="8">
        <v>0</v>
      </c>
      <c r="G155" s="8">
        <v>0</v>
      </c>
      <c r="I155" s="6" t="s">
        <v>932</v>
      </c>
      <c r="J155" s="6" t="s">
        <v>933</v>
      </c>
    </row>
    <row r="156" spans="1:10" ht="409.5" x14ac:dyDescent="0.25">
      <c r="A156" s="6" t="str">
        <f>HYPERLINK("https://grants.gov/search-results-detail/352482","L24AS00099")</f>
        <v>L24AS00099</v>
      </c>
      <c r="B156" s="6" t="s">
        <v>1839</v>
      </c>
      <c r="C156" s="6" t="s">
        <v>1008</v>
      </c>
      <c r="D156" s="6" t="s">
        <v>1009</v>
      </c>
      <c r="E156" s="7">
        <v>45429</v>
      </c>
      <c r="F156" s="8">
        <v>500000</v>
      </c>
      <c r="G156" s="8">
        <v>10000</v>
      </c>
      <c r="I156" s="6" t="s">
        <v>1840</v>
      </c>
      <c r="J156" s="6" t="s">
        <v>1841</v>
      </c>
    </row>
    <row r="157" spans="1:10" ht="405" x14ac:dyDescent="0.25">
      <c r="A157" s="6" t="str">
        <f>HYPERLINK("https://grants.gov/search-results-detail/353332","L24AS00333")</f>
        <v>L24AS00333</v>
      </c>
      <c r="B157" s="6" t="s">
        <v>1029</v>
      </c>
      <c r="C157" s="6" t="s">
        <v>1008</v>
      </c>
      <c r="D157" s="6" t="s">
        <v>1009</v>
      </c>
      <c r="E157" s="7">
        <v>45446</v>
      </c>
      <c r="F157" s="8">
        <v>30000</v>
      </c>
      <c r="G157" s="8">
        <v>5000</v>
      </c>
      <c r="I157" s="6" t="s">
        <v>1030</v>
      </c>
      <c r="J157" s="6" t="s">
        <v>1031</v>
      </c>
    </row>
    <row r="158" spans="1:10" ht="409.5" x14ac:dyDescent="0.25">
      <c r="A158" s="6" t="str">
        <f>HYPERLINK("https://grants.gov/search-results-detail/353348","L24AS00100")</f>
        <v>L24AS00100</v>
      </c>
      <c r="B158" s="6" t="s">
        <v>1007</v>
      </c>
      <c r="C158" s="6" t="s">
        <v>1008</v>
      </c>
      <c r="D158" s="6" t="s">
        <v>1009</v>
      </c>
      <c r="E158" s="7">
        <v>45471</v>
      </c>
      <c r="F158" s="8">
        <v>500000</v>
      </c>
      <c r="G158" s="8">
        <v>10000</v>
      </c>
      <c r="I158" s="6" t="s">
        <v>1010</v>
      </c>
      <c r="J158" s="6" t="s">
        <v>1011</v>
      </c>
    </row>
    <row r="159" spans="1:10" ht="405" x14ac:dyDescent="0.25">
      <c r="A159" s="6" t="str">
        <f>HYPERLINK("https://grants.gov/search-results-detail/353351","L24AS00110")</f>
        <v>L24AS00110</v>
      </c>
      <c r="B159" s="6" t="s">
        <v>1012</v>
      </c>
      <c r="C159" s="6" t="s">
        <v>1008</v>
      </c>
      <c r="D159" s="6" t="s">
        <v>1009</v>
      </c>
      <c r="E159" s="7">
        <v>45471</v>
      </c>
      <c r="F159" s="8">
        <v>500000</v>
      </c>
      <c r="G159" s="8">
        <v>10000</v>
      </c>
      <c r="I159" s="6" t="s">
        <v>1013</v>
      </c>
      <c r="J159" s="6" t="s">
        <v>1014</v>
      </c>
    </row>
    <row r="160" spans="1:10" ht="409.5" x14ac:dyDescent="0.25">
      <c r="A160" s="6" t="str">
        <f>HYPERLINK("https://grants.gov/search-results-detail/353347","L24AS00104")</f>
        <v>L24AS00104</v>
      </c>
      <c r="B160" s="6" t="s">
        <v>1015</v>
      </c>
      <c r="C160" s="6" t="s">
        <v>1008</v>
      </c>
      <c r="D160" s="6" t="s">
        <v>1009</v>
      </c>
      <c r="E160" s="7">
        <v>45471</v>
      </c>
      <c r="F160" s="8">
        <v>250000</v>
      </c>
      <c r="G160" s="8">
        <v>10000</v>
      </c>
      <c r="I160" s="6" t="s">
        <v>1016</v>
      </c>
      <c r="J160" s="6" t="s">
        <v>1017</v>
      </c>
    </row>
    <row r="161" spans="1:10" ht="409.5" x14ac:dyDescent="0.25">
      <c r="A161" s="6" t="str">
        <f>HYPERLINK("https://grants.gov/search-results-detail/353620","M24AS00332")</f>
        <v>M24AS00332</v>
      </c>
      <c r="B161" s="6" t="s">
        <v>472</v>
      </c>
      <c r="C161" s="6" t="s">
        <v>473</v>
      </c>
      <c r="D161" s="6" t="s">
        <v>474</v>
      </c>
      <c r="E161" s="7">
        <v>45441</v>
      </c>
      <c r="F161" s="8">
        <v>820000</v>
      </c>
      <c r="G161" s="8">
        <v>520000</v>
      </c>
      <c r="I161" s="6" t="s">
        <v>475</v>
      </c>
      <c r="J161" s="6" t="s">
        <v>476</v>
      </c>
    </row>
    <row r="162" spans="1:10" ht="409.5" x14ac:dyDescent="0.25">
      <c r="A162" s="6" t="str">
        <f>HYPERLINK("https://grants.gov/search-results-detail/353074","M24AS00265")</f>
        <v>M24AS00265</v>
      </c>
      <c r="B162" s="6" t="s">
        <v>1415</v>
      </c>
      <c r="C162" s="6" t="s">
        <v>473</v>
      </c>
      <c r="D162" s="6" t="s">
        <v>474</v>
      </c>
      <c r="E162" s="7">
        <v>45456</v>
      </c>
      <c r="F162" s="8">
        <v>3000000</v>
      </c>
      <c r="G162" s="8">
        <v>2950000</v>
      </c>
      <c r="I162" s="6" t="s">
        <v>1416</v>
      </c>
      <c r="J162" s="6" t="s">
        <v>1417</v>
      </c>
    </row>
    <row r="163" spans="1:10" ht="409.5" x14ac:dyDescent="0.25">
      <c r="A163" s="6" t="str">
        <f>HYPERLINK("https://grants.gov/search-results-detail/349785","R23AS00109")</f>
        <v>R23AS00109</v>
      </c>
      <c r="B163" s="6" t="s">
        <v>2207</v>
      </c>
      <c r="C163" s="6" t="s">
        <v>463</v>
      </c>
      <c r="D163" s="6" t="s">
        <v>464</v>
      </c>
      <c r="E163" s="7">
        <v>45433</v>
      </c>
      <c r="F163" s="8">
        <v>400000</v>
      </c>
      <c r="G163" s="8">
        <v>1</v>
      </c>
      <c r="I163" s="6" t="s">
        <v>2208</v>
      </c>
      <c r="J163" s="6" t="s">
        <v>2209</v>
      </c>
    </row>
    <row r="164" spans="1:10" ht="409.5" x14ac:dyDescent="0.25">
      <c r="A164" s="6" t="str">
        <f>HYPERLINK("https://grants.gov/search-results-detail/353237","R24AS00294")</f>
        <v>R24AS00294</v>
      </c>
      <c r="B164" s="6" t="s">
        <v>1205</v>
      </c>
      <c r="C164" s="6" t="s">
        <v>463</v>
      </c>
      <c r="D164" s="6" t="s">
        <v>464</v>
      </c>
      <c r="E164" s="7">
        <v>45446</v>
      </c>
      <c r="F164" s="8">
        <v>55000</v>
      </c>
      <c r="G164" s="8">
        <v>0</v>
      </c>
      <c r="I164" s="6" t="s">
        <v>1206</v>
      </c>
      <c r="J164" s="6" t="s">
        <v>1207</v>
      </c>
    </row>
    <row r="165" spans="1:10" ht="409.5" x14ac:dyDescent="0.25">
      <c r="A165" s="6" t="str">
        <f>HYPERLINK("https://grants.gov/search-results-detail/352901","R24AS00252")</f>
        <v>R24AS00252</v>
      </c>
      <c r="B165" s="6" t="s">
        <v>1678</v>
      </c>
      <c r="C165" s="6" t="s">
        <v>463</v>
      </c>
      <c r="D165" s="6" t="s">
        <v>464</v>
      </c>
      <c r="E165" s="7">
        <v>45446</v>
      </c>
      <c r="F165" s="8">
        <v>100000</v>
      </c>
      <c r="G165" s="8">
        <v>1</v>
      </c>
      <c r="I165" s="6" t="s">
        <v>1679</v>
      </c>
      <c r="J165" s="6" t="s">
        <v>1680</v>
      </c>
    </row>
    <row r="166" spans="1:10" ht="409.5" x14ac:dyDescent="0.25">
      <c r="A166" s="6" t="str">
        <f>HYPERLINK("https://grants.gov/search-results-detail/353621","R24AS00299")</f>
        <v>R24AS00299</v>
      </c>
      <c r="B166" s="6" t="s">
        <v>462</v>
      </c>
      <c r="C166" s="6" t="s">
        <v>463</v>
      </c>
      <c r="D166" s="6" t="s">
        <v>464</v>
      </c>
      <c r="E166" s="7">
        <v>45461</v>
      </c>
      <c r="F166" s="8">
        <v>5000000</v>
      </c>
      <c r="G166" s="8">
        <v>0</v>
      </c>
      <c r="I166" s="6" t="s">
        <v>465</v>
      </c>
      <c r="J166" s="6" t="s">
        <v>466</v>
      </c>
    </row>
    <row r="167" spans="1:10" ht="409.5" x14ac:dyDescent="0.25">
      <c r="A167" s="6" t="str">
        <f>HYPERLINK("https://grants.gov/search-results-detail/350845","R24AS00059")</f>
        <v>R24AS00059</v>
      </c>
      <c r="B167" s="6" t="s">
        <v>2135</v>
      </c>
      <c r="C167" s="6" t="s">
        <v>463</v>
      </c>
      <c r="D167" s="6" t="s">
        <v>464</v>
      </c>
      <c r="E167" s="7">
        <v>45482</v>
      </c>
      <c r="F167" s="8">
        <v>100000</v>
      </c>
      <c r="G167" s="8">
        <v>0</v>
      </c>
      <c r="I167" s="6" t="s">
        <v>2136</v>
      </c>
      <c r="J167" s="6" t="s">
        <v>2137</v>
      </c>
    </row>
    <row r="168" spans="1:10" ht="409.5" x14ac:dyDescent="0.25">
      <c r="A168" s="6" t="str">
        <f>HYPERLINK("https://grants.gov/search-results-detail/352394","F24AS00264")</f>
        <v>F24AS00264</v>
      </c>
      <c r="B168" s="6" t="s">
        <v>1847</v>
      </c>
      <c r="C168" s="6" t="s">
        <v>478</v>
      </c>
      <c r="D168" s="6" t="s">
        <v>479</v>
      </c>
      <c r="E168" s="7">
        <v>45427</v>
      </c>
      <c r="F168" s="8">
        <v>600000</v>
      </c>
      <c r="G168" s="8">
        <v>50000</v>
      </c>
      <c r="I168" s="6" t="s">
        <v>1848</v>
      </c>
      <c r="J168" s="6" t="s">
        <v>1849</v>
      </c>
    </row>
    <row r="169" spans="1:10" ht="409.5" x14ac:dyDescent="0.25">
      <c r="A169" s="6" t="str">
        <f>HYPERLINK("https://grants.gov/search-results-detail/351214","F24AS00198")</f>
        <v>F24AS00198</v>
      </c>
      <c r="B169" s="6" t="s">
        <v>2090</v>
      </c>
      <c r="C169" s="6" t="s">
        <v>478</v>
      </c>
      <c r="D169" s="6" t="s">
        <v>479</v>
      </c>
      <c r="E169" s="7">
        <v>45429</v>
      </c>
      <c r="F169" s="8">
        <v>50000000</v>
      </c>
      <c r="G169" s="8">
        <v>5000</v>
      </c>
      <c r="I169" s="6" t="s">
        <v>2091</v>
      </c>
      <c r="J169" s="6" t="s">
        <v>2092</v>
      </c>
    </row>
    <row r="170" spans="1:10" ht="409.5" x14ac:dyDescent="0.25">
      <c r="A170" s="6" t="str">
        <f>HYPERLINK("https://grants.gov/search-results-detail/351190","F24AS00176")</f>
        <v>F24AS00176</v>
      </c>
      <c r="B170" s="6" t="s">
        <v>2098</v>
      </c>
      <c r="C170" s="6" t="s">
        <v>478</v>
      </c>
      <c r="D170" s="6" t="s">
        <v>479</v>
      </c>
      <c r="E170" s="7">
        <v>45429</v>
      </c>
      <c r="F170" s="8">
        <v>50000000</v>
      </c>
      <c r="G170" s="8">
        <v>5000</v>
      </c>
      <c r="I170" s="6" t="s">
        <v>2099</v>
      </c>
      <c r="J170" s="6" t="s">
        <v>2100</v>
      </c>
    </row>
    <row r="171" spans="1:10" ht="409.5" x14ac:dyDescent="0.25">
      <c r="A171" s="6" t="str">
        <f>HYPERLINK("https://grants.gov/search-results-detail/353208","F24AS00320")</f>
        <v>F24AS00320</v>
      </c>
      <c r="B171" s="6" t="s">
        <v>1241</v>
      </c>
      <c r="C171" s="6" t="s">
        <v>478</v>
      </c>
      <c r="D171" s="6" t="s">
        <v>479</v>
      </c>
      <c r="E171" s="7">
        <v>45439</v>
      </c>
      <c r="F171" s="8">
        <v>1000000</v>
      </c>
      <c r="G171" s="8">
        <v>50000</v>
      </c>
      <c r="I171" s="6" t="s">
        <v>1242</v>
      </c>
      <c r="J171" s="6" t="s">
        <v>1243</v>
      </c>
    </row>
    <row r="172" spans="1:10" ht="409.5" x14ac:dyDescent="0.25">
      <c r="A172" s="6" t="str">
        <f>HYPERLINK("https://grants.gov/search-results-detail/353626","F24AS00309")</f>
        <v>F24AS00309</v>
      </c>
      <c r="B172" s="6" t="s">
        <v>477</v>
      </c>
      <c r="C172" s="6" t="s">
        <v>478</v>
      </c>
      <c r="D172" s="6" t="s">
        <v>479</v>
      </c>
      <c r="E172" s="7">
        <v>45447</v>
      </c>
      <c r="F172" s="8">
        <v>200000</v>
      </c>
      <c r="G172" s="8">
        <v>100000</v>
      </c>
      <c r="I172" s="6" t="s">
        <v>480</v>
      </c>
      <c r="J172" s="6" t="s">
        <v>481</v>
      </c>
    </row>
    <row r="173" spans="1:10" ht="409.5" x14ac:dyDescent="0.25">
      <c r="A173" s="6" t="str">
        <f>HYPERLINK("https://grants.gov/search-results-detail/353425","F25AS00007")</f>
        <v>F25AS00007</v>
      </c>
      <c r="B173" s="6" t="s">
        <v>878</v>
      </c>
      <c r="C173" s="6" t="s">
        <v>478</v>
      </c>
      <c r="D173" s="6" t="s">
        <v>479</v>
      </c>
      <c r="E173" s="7">
        <v>45450</v>
      </c>
      <c r="F173" s="8">
        <v>1000000</v>
      </c>
      <c r="G173" s="8">
        <v>50000</v>
      </c>
      <c r="I173" s="6" t="s">
        <v>879</v>
      </c>
      <c r="J173" s="6" t="s">
        <v>880</v>
      </c>
    </row>
    <row r="174" spans="1:10" ht="409.5" x14ac:dyDescent="0.25">
      <c r="A174" s="6" t="str">
        <f>HYPERLINK("https://grants.gov/search-results-detail/351110","F24AS00175")</f>
        <v>F24AS00175</v>
      </c>
      <c r="B174" s="6" t="s">
        <v>2104</v>
      </c>
      <c r="C174" s="6" t="s">
        <v>478</v>
      </c>
      <c r="D174" s="6" t="s">
        <v>479</v>
      </c>
      <c r="E174" s="7">
        <v>45488</v>
      </c>
      <c r="F174" s="8">
        <v>960000</v>
      </c>
      <c r="G174" s="8">
        <v>50000</v>
      </c>
      <c r="I174" s="6" t="s">
        <v>2105</v>
      </c>
      <c r="J174" s="6" t="s">
        <v>2106</v>
      </c>
    </row>
    <row r="175" spans="1:10" ht="409.5" x14ac:dyDescent="0.25">
      <c r="A175" s="6" t="str">
        <f>HYPERLINK("https://grants.gov/search-results-detail/353532","F25AS00008")</f>
        <v>F25AS00008</v>
      </c>
      <c r="B175" s="6" t="s">
        <v>638</v>
      </c>
      <c r="C175" s="6" t="s">
        <v>478</v>
      </c>
      <c r="D175" s="6" t="s">
        <v>479</v>
      </c>
      <c r="E175" s="7">
        <v>45509</v>
      </c>
      <c r="F175" s="8">
        <v>10000000</v>
      </c>
      <c r="G175" s="8">
        <v>200000</v>
      </c>
      <c r="I175" s="6" t="s">
        <v>639</v>
      </c>
      <c r="J175" s="6" t="s">
        <v>640</v>
      </c>
    </row>
    <row r="176" spans="1:10" ht="150" x14ac:dyDescent="0.25">
      <c r="A176" s="6" t="str">
        <f>HYPERLINK("https://grants.gov/search-results-detail/42048","FWS-R4-FLEXFUND")</f>
        <v>FWS-R4-FLEXFUND</v>
      </c>
      <c r="B176" s="6" t="s">
        <v>3049</v>
      </c>
      <c r="C176" s="6" t="s">
        <v>3050</v>
      </c>
      <c r="D176" s="6" t="s">
        <v>3051</v>
      </c>
      <c r="F176" s="8">
        <v>300000</v>
      </c>
      <c r="G176" s="8">
        <v>1</v>
      </c>
      <c r="H176" s="6">
        <v>25</v>
      </c>
      <c r="I176" s="6" t="s">
        <v>3052</v>
      </c>
      <c r="J176" s="6" t="s">
        <v>3053</v>
      </c>
    </row>
    <row r="177" spans="1:10" ht="409.5" x14ac:dyDescent="0.25">
      <c r="A177" s="6" t="str">
        <f>HYPERLINK("https://grants.gov/search-results-detail/353385","D24AS00326")</f>
        <v>D24AS00326</v>
      </c>
      <c r="B177" s="6" t="s">
        <v>991</v>
      </c>
      <c r="C177" s="6" t="s">
        <v>992</v>
      </c>
      <c r="D177" s="6" t="s">
        <v>993</v>
      </c>
      <c r="E177" s="7">
        <v>45446</v>
      </c>
      <c r="F177" s="8">
        <v>200000</v>
      </c>
      <c r="G177" s="8">
        <v>75000</v>
      </c>
      <c r="I177" s="6" t="s">
        <v>994</v>
      </c>
      <c r="J177" s="6" t="s">
        <v>995</v>
      </c>
    </row>
    <row r="178" spans="1:10" ht="405" x14ac:dyDescent="0.25">
      <c r="A178" s="6" t="str">
        <f>HYPERLINK("https://grants.gov/search-results-detail/352229","D24AS00253")</f>
        <v>D24AS00253</v>
      </c>
      <c r="B178" s="6" t="s">
        <v>1930</v>
      </c>
      <c r="C178" s="6" t="s">
        <v>992</v>
      </c>
      <c r="D178" s="6" t="s">
        <v>993</v>
      </c>
      <c r="E178" s="7">
        <v>45447</v>
      </c>
      <c r="F178" s="8">
        <v>200000</v>
      </c>
      <c r="G178" s="8">
        <v>10000</v>
      </c>
      <c r="I178" s="6" t="s">
        <v>1931</v>
      </c>
      <c r="J178" s="6" t="s">
        <v>1932</v>
      </c>
    </row>
    <row r="179" spans="1:10" ht="60" x14ac:dyDescent="0.25">
      <c r="A179" s="6" t="str">
        <f>HYPERLINK("https://grants.gov/search-results-detail/351955","P24AS00519")</f>
        <v>P24AS00519</v>
      </c>
      <c r="B179" s="6" t="s">
        <v>1964</v>
      </c>
      <c r="C179" s="6" t="s">
        <v>698</v>
      </c>
      <c r="D179" s="6" t="s">
        <v>699</v>
      </c>
      <c r="E179" s="7">
        <v>45427</v>
      </c>
      <c r="F179" s="8">
        <v>750000</v>
      </c>
      <c r="G179" s="8">
        <v>30000</v>
      </c>
      <c r="I179" s="6" t="s">
        <v>274</v>
      </c>
      <c r="J179" s="6" t="s">
        <v>1965</v>
      </c>
    </row>
    <row r="180" spans="1:10" ht="375" x14ac:dyDescent="0.25">
      <c r="A180" s="6" t="str">
        <f>HYPERLINK("https://grants.gov/search-results-detail/352069","P24AS00506")</f>
        <v>P24AS00506</v>
      </c>
      <c r="B180" s="6" t="s">
        <v>1943</v>
      </c>
      <c r="C180" s="6" t="s">
        <v>698</v>
      </c>
      <c r="D180" s="6" t="s">
        <v>699</v>
      </c>
      <c r="E180" s="7">
        <v>45442</v>
      </c>
      <c r="F180" s="8">
        <v>2200000</v>
      </c>
      <c r="G180" s="8">
        <v>100000</v>
      </c>
      <c r="I180" s="6" t="s">
        <v>1944</v>
      </c>
      <c r="J180" s="6" t="s">
        <v>1945</v>
      </c>
    </row>
    <row r="181" spans="1:10" ht="375" x14ac:dyDescent="0.25">
      <c r="A181" s="6" t="str">
        <f>HYPERLINK("https://grants.gov/search-results-detail/353517","P24AS00344")</f>
        <v>P24AS00344</v>
      </c>
      <c r="B181" s="6" t="s">
        <v>697</v>
      </c>
      <c r="C181" s="6" t="s">
        <v>698</v>
      </c>
      <c r="D181" s="6" t="s">
        <v>699</v>
      </c>
      <c r="E181" s="7">
        <v>45455</v>
      </c>
      <c r="F181" s="8">
        <v>100000</v>
      </c>
      <c r="G181" s="8">
        <v>60000</v>
      </c>
      <c r="I181" s="6" t="s">
        <v>700</v>
      </c>
      <c r="J181" s="6" t="s">
        <v>701</v>
      </c>
    </row>
    <row r="182" spans="1:10" ht="409.5" x14ac:dyDescent="0.25">
      <c r="A182" s="6" t="str">
        <f>HYPERLINK("https://grants.gov/search-results-detail/352942","P24AS00521")</f>
        <v>P24AS00521</v>
      </c>
      <c r="B182" s="6" t="s">
        <v>1612</v>
      </c>
      <c r="C182" s="6" t="s">
        <v>698</v>
      </c>
      <c r="D182" s="6" t="s">
        <v>699</v>
      </c>
      <c r="E182" s="7">
        <v>45455</v>
      </c>
      <c r="F182" s="8">
        <v>200000</v>
      </c>
      <c r="G182" s="8">
        <v>20000</v>
      </c>
      <c r="I182" s="6" t="s">
        <v>274</v>
      </c>
      <c r="J182" s="6" t="s">
        <v>1613</v>
      </c>
    </row>
    <row r="183" spans="1:10" ht="409.5" x14ac:dyDescent="0.25">
      <c r="A183" s="6" t="str">
        <f>HYPERLINK("https://grants.gov/search-results-detail/353386","P24AS00331")</f>
        <v>P24AS00331</v>
      </c>
      <c r="B183" s="6" t="s">
        <v>996</v>
      </c>
      <c r="C183" s="6" t="s">
        <v>698</v>
      </c>
      <c r="D183" s="6" t="s">
        <v>699</v>
      </c>
      <c r="E183" s="7">
        <v>45476</v>
      </c>
      <c r="F183" s="8">
        <v>400000</v>
      </c>
      <c r="G183" s="8">
        <v>200000</v>
      </c>
      <c r="I183" s="6" t="s">
        <v>997</v>
      </c>
      <c r="J183" s="6" t="s">
        <v>998</v>
      </c>
    </row>
    <row r="184" spans="1:10" ht="150" x14ac:dyDescent="0.25">
      <c r="A184" s="6" t="str">
        <f>HYPERLINK("https://grants.gov/search-results-detail/353371","P24AS00337")</f>
        <v>P24AS00337</v>
      </c>
      <c r="B184" s="6" t="s">
        <v>974</v>
      </c>
      <c r="C184" s="6" t="s">
        <v>698</v>
      </c>
      <c r="D184" s="6" t="s">
        <v>699</v>
      </c>
      <c r="E184" s="7">
        <v>45488</v>
      </c>
      <c r="F184" s="8">
        <v>5000000</v>
      </c>
      <c r="G184" s="8">
        <v>100000</v>
      </c>
      <c r="I184" s="6" t="s">
        <v>274</v>
      </c>
      <c r="J184" s="6" t="s">
        <v>975</v>
      </c>
    </row>
    <row r="185" spans="1:10" ht="409.5" x14ac:dyDescent="0.25">
      <c r="A185" s="6" t="str">
        <f>HYPERLINK("https://grants.gov/search-results-detail/353005","P24AS00306")</f>
        <v>P24AS00306</v>
      </c>
      <c r="B185" s="6" t="s">
        <v>1571</v>
      </c>
      <c r="C185" s="6" t="s">
        <v>698</v>
      </c>
      <c r="D185" s="6" t="s">
        <v>699</v>
      </c>
      <c r="E185" s="7">
        <v>45488</v>
      </c>
      <c r="F185" s="8">
        <v>25000000</v>
      </c>
      <c r="G185" s="8">
        <v>250000</v>
      </c>
      <c r="I185" s="6" t="s">
        <v>274</v>
      </c>
      <c r="J185" s="6" t="s">
        <v>1572</v>
      </c>
    </row>
    <row r="186" spans="1:10" ht="165" x14ac:dyDescent="0.25">
      <c r="A186" s="6" t="str">
        <f>HYPERLINK("https://grants.gov/search-results-detail/286105","P16AS00322")</f>
        <v>P16AS00322</v>
      </c>
      <c r="B186" s="6" t="s">
        <v>2903</v>
      </c>
      <c r="C186" s="6" t="s">
        <v>698</v>
      </c>
      <c r="D186" s="6" t="s">
        <v>699</v>
      </c>
      <c r="F186" s="8">
        <v>89987</v>
      </c>
      <c r="G186" s="8">
        <v>1</v>
      </c>
      <c r="I186" s="6" t="s">
        <v>116</v>
      </c>
      <c r="J186" s="6" t="s">
        <v>2904</v>
      </c>
    </row>
    <row r="187" spans="1:10" ht="60" x14ac:dyDescent="0.25">
      <c r="A187" s="6" t="str">
        <f>HYPERLINK("https://grants.gov/search-results-detail/141593","P12AC10113")</f>
        <v>P12AC10113</v>
      </c>
      <c r="B187" s="6" t="s">
        <v>3003</v>
      </c>
      <c r="C187" s="6" t="s">
        <v>698</v>
      </c>
      <c r="D187" s="6" t="s">
        <v>699</v>
      </c>
      <c r="F187" s="8">
        <v>55746</v>
      </c>
      <c r="G187" s="8" t="s">
        <v>18</v>
      </c>
      <c r="H187" s="6">
        <v>1</v>
      </c>
      <c r="I187" s="6" t="s">
        <v>3004</v>
      </c>
      <c r="J187" s="6" t="s">
        <v>3005</v>
      </c>
    </row>
    <row r="188" spans="1:10" ht="195" x14ac:dyDescent="0.25">
      <c r="A188" s="6" t="str">
        <f>HYPERLINK("https://grants.gov/search-results-detail/113293","P11AT80708")</f>
        <v>P11AT80708</v>
      </c>
      <c r="B188" s="6" t="s">
        <v>3009</v>
      </c>
      <c r="C188" s="6" t="s">
        <v>698</v>
      </c>
      <c r="D188" s="6" t="s">
        <v>699</v>
      </c>
      <c r="F188" s="8" t="s">
        <v>18</v>
      </c>
      <c r="G188" s="8" t="s">
        <v>18</v>
      </c>
      <c r="H188" s="6">
        <v>1</v>
      </c>
      <c r="I188" s="6" t="s">
        <v>3010</v>
      </c>
      <c r="J188" s="6" t="s">
        <v>3011</v>
      </c>
    </row>
    <row r="189" spans="1:10" ht="105" x14ac:dyDescent="0.25">
      <c r="A189" s="6" t="str">
        <f>HYPERLINK("https://grants.gov/search-results-detail/326852","USGS-20-FA-0100")</f>
        <v>USGS-20-FA-0100</v>
      </c>
      <c r="B189" s="6" t="s">
        <v>2742</v>
      </c>
      <c r="C189" s="6" t="s">
        <v>68</v>
      </c>
      <c r="D189" s="6" t="s">
        <v>69</v>
      </c>
      <c r="E189" s="7">
        <v>45432</v>
      </c>
      <c r="F189" s="8">
        <v>200000</v>
      </c>
      <c r="G189" s="8">
        <v>1</v>
      </c>
      <c r="H189" s="6">
        <v>1</v>
      </c>
      <c r="I189" s="6" t="s">
        <v>2743</v>
      </c>
      <c r="J189" s="6" t="s">
        <v>2744</v>
      </c>
    </row>
    <row r="190" spans="1:10" ht="300" x14ac:dyDescent="0.25">
      <c r="A190" s="6" t="str">
        <f>HYPERLINK("https://grants.gov/search-results-detail/353666","G24AS00349")</f>
        <v>G24AS00349</v>
      </c>
      <c r="B190" s="6" t="s">
        <v>379</v>
      </c>
      <c r="C190" s="6" t="s">
        <v>68</v>
      </c>
      <c r="D190" s="6" t="s">
        <v>69</v>
      </c>
      <c r="E190" s="7">
        <v>45434</v>
      </c>
      <c r="F190" s="8">
        <v>20000</v>
      </c>
      <c r="G190" s="8">
        <v>10000</v>
      </c>
      <c r="I190" s="6" t="s">
        <v>380</v>
      </c>
      <c r="J190" s="6" t="s">
        <v>381</v>
      </c>
    </row>
    <row r="191" spans="1:10" ht="240" x14ac:dyDescent="0.25">
      <c r="A191" s="6" t="str">
        <f>HYPERLINK("https://grants.gov/search-results-detail/353665","G24AS00348")</f>
        <v>G24AS00348</v>
      </c>
      <c r="B191" s="6" t="s">
        <v>382</v>
      </c>
      <c r="C191" s="6" t="s">
        <v>68</v>
      </c>
      <c r="D191" s="6" t="s">
        <v>69</v>
      </c>
      <c r="E191" s="7">
        <v>45434</v>
      </c>
      <c r="F191" s="8">
        <v>11000</v>
      </c>
      <c r="G191" s="8">
        <v>0</v>
      </c>
      <c r="I191" s="6" t="s">
        <v>383</v>
      </c>
      <c r="J191" s="6" t="s">
        <v>384</v>
      </c>
    </row>
    <row r="192" spans="1:10" ht="409.5" x14ac:dyDescent="0.25">
      <c r="A192" s="6" t="str">
        <f>HYPERLINK("https://grants.gov/search-results-detail/353497","G24AS00537")</f>
        <v>G24AS00537</v>
      </c>
      <c r="B192" s="6" t="s">
        <v>715</v>
      </c>
      <c r="C192" s="6" t="s">
        <v>68</v>
      </c>
      <c r="D192" s="6" t="s">
        <v>69</v>
      </c>
      <c r="E192" s="7">
        <v>45434</v>
      </c>
      <c r="F192" s="8">
        <v>440685</v>
      </c>
      <c r="G192" s="8">
        <v>146895</v>
      </c>
      <c r="I192" s="6" t="s">
        <v>716</v>
      </c>
      <c r="J192" s="6" t="s">
        <v>717</v>
      </c>
    </row>
    <row r="193" spans="1:10" ht="409.5" x14ac:dyDescent="0.25">
      <c r="A193" s="6" t="str">
        <f>HYPERLINK("https://grants.gov/search-results-detail/353002","G25AS00240")</f>
        <v>G25AS00240</v>
      </c>
      <c r="B193" s="6" t="s">
        <v>1568</v>
      </c>
      <c r="C193" s="6" t="s">
        <v>68</v>
      </c>
      <c r="D193" s="6" t="s">
        <v>69</v>
      </c>
      <c r="E193" s="7">
        <v>45435</v>
      </c>
      <c r="F193" s="8">
        <v>0</v>
      </c>
      <c r="G193" s="8">
        <v>0</v>
      </c>
      <c r="I193" s="6" t="s">
        <v>1569</v>
      </c>
      <c r="J193" s="6" t="s">
        <v>1570</v>
      </c>
    </row>
    <row r="194" spans="1:10" ht="375" x14ac:dyDescent="0.25">
      <c r="A194" s="6" t="str">
        <f>HYPERLINK("https://grants.gov/search-results-detail/353845","G24AS00354")</f>
        <v>G24AS00354</v>
      </c>
      <c r="B194" s="6" t="s">
        <v>67</v>
      </c>
      <c r="C194" s="6" t="s">
        <v>68</v>
      </c>
      <c r="D194" s="6" t="s">
        <v>69</v>
      </c>
      <c r="E194" s="7">
        <v>45441</v>
      </c>
      <c r="F194" s="8">
        <v>400000</v>
      </c>
      <c r="G194" s="8">
        <v>100000</v>
      </c>
      <c r="I194" s="6" t="s">
        <v>70</v>
      </c>
      <c r="J194" s="6" t="s">
        <v>71</v>
      </c>
    </row>
    <row r="195" spans="1:10" ht="180" x14ac:dyDescent="0.25">
      <c r="A195" s="6" t="str">
        <f>HYPERLINK("https://grants.gov/search-results-detail/353843","G24AS00353")</f>
        <v>G24AS00353</v>
      </c>
      <c r="B195" s="6" t="s">
        <v>72</v>
      </c>
      <c r="C195" s="6" t="s">
        <v>68</v>
      </c>
      <c r="D195" s="6" t="s">
        <v>69</v>
      </c>
      <c r="E195" s="7">
        <v>45441</v>
      </c>
      <c r="F195" s="8">
        <v>485000</v>
      </c>
      <c r="G195" s="8">
        <v>117030</v>
      </c>
      <c r="I195" s="6" t="s">
        <v>73</v>
      </c>
      <c r="J195" s="6" t="s">
        <v>74</v>
      </c>
    </row>
    <row r="196" spans="1:10" ht="409.5" x14ac:dyDescent="0.25">
      <c r="A196" s="6" t="str">
        <f>HYPERLINK("https://grants.gov/search-results-detail/353844","G24AS00351")</f>
        <v>G24AS00351</v>
      </c>
      <c r="B196" s="6" t="s">
        <v>75</v>
      </c>
      <c r="C196" s="6" t="s">
        <v>68</v>
      </c>
      <c r="D196" s="6" t="s">
        <v>69</v>
      </c>
      <c r="E196" s="7">
        <v>45441</v>
      </c>
      <c r="F196" s="8">
        <v>35833</v>
      </c>
      <c r="G196" s="8">
        <v>0</v>
      </c>
      <c r="I196" s="6" t="s">
        <v>76</v>
      </c>
      <c r="J196" s="6" t="s">
        <v>77</v>
      </c>
    </row>
    <row r="197" spans="1:10" ht="330" x14ac:dyDescent="0.25">
      <c r="A197" s="6" t="str">
        <f>HYPERLINK("https://grants.gov/search-results-detail/353611","G24AS00535")</f>
        <v>G24AS00535</v>
      </c>
      <c r="B197" s="6" t="s">
        <v>487</v>
      </c>
      <c r="C197" s="6" t="s">
        <v>68</v>
      </c>
      <c r="D197" s="6" t="s">
        <v>69</v>
      </c>
      <c r="E197" s="7">
        <v>45442</v>
      </c>
      <c r="F197" s="8">
        <v>310000</v>
      </c>
      <c r="G197" s="8">
        <v>0</v>
      </c>
      <c r="I197" s="6" t="s">
        <v>488</v>
      </c>
      <c r="J197" s="6" t="s">
        <v>489</v>
      </c>
    </row>
    <row r="198" spans="1:10" ht="330" x14ac:dyDescent="0.25">
      <c r="A198" s="6" t="str">
        <f>HYPERLINK("https://grants.gov/search-results-detail/353610","G24AS00534")</f>
        <v>G24AS00534</v>
      </c>
      <c r="B198" s="6" t="s">
        <v>490</v>
      </c>
      <c r="C198" s="6" t="s">
        <v>68</v>
      </c>
      <c r="D198" s="6" t="s">
        <v>69</v>
      </c>
      <c r="E198" s="7">
        <v>45442</v>
      </c>
      <c r="F198" s="8">
        <v>348000</v>
      </c>
      <c r="G198" s="8">
        <v>0</v>
      </c>
      <c r="I198" s="6" t="s">
        <v>488</v>
      </c>
      <c r="J198" s="6" t="s">
        <v>489</v>
      </c>
    </row>
    <row r="199" spans="1:10" ht="330" x14ac:dyDescent="0.25">
      <c r="A199" s="6" t="str">
        <f>HYPERLINK("https://grants.gov/search-results-detail/353612","G24AS00536")</f>
        <v>G24AS00536</v>
      </c>
      <c r="B199" s="6" t="s">
        <v>496</v>
      </c>
      <c r="C199" s="6" t="s">
        <v>68</v>
      </c>
      <c r="D199" s="6" t="s">
        <v>69</v>
      </c>
      <c r="E199" s="7">
        <v>45442</v>
      </c>
      <c r="F199" s="8">
        <v>310000</v>
      </c>
      <c r="G199" s="8">
        <v>0</v>
      </c>
      <c r="I199" s="6" t="s">
        <v>488</v>
      </c>
      <c r="J199" s="6" t="s">
        <v>489</v>
      </c>
    </row>
    <row r="200" spans="1:10" ht="315" x14ac:dyDescent="0.25">
      <c r="A200" s="6" t="str">
        <f>HYPERLINK("https://grants.gov/search-results-detail/353601","G24AS00345")</f>
        <v>G24AS00345</v>
      </c>
      <c r="B200" s="6" t="s">
        <v>553</v>
      </c>
      <c r="C200" s="6" t="s">
        <v>68</v>
      </c>
      <c r="D200" s="6" t="s">
        <v>69</v>
      </c>
      <c r="E200" s="7">
        <v>45460</v>
      </c>
      <c r="F200" s="8">
        <v>300000</v>
      </c>
      <c r="G200" s="8">
        <v>10000</v>
      </c>
      <c r="I200" s="6" t="s">
        <v>554</v>
      </c>
      <c r="J200" s="6" t="s">
        <v>555</v>
      </c>
    </row>
    <row r="201" spans="1:10" ht="180" x14ac:dyDescent="0.25">
      <c r="A201" s="6" t="str">
        <f>HYPERLINK("https://grants.gov/search-results-detail/350458","G24AS00500")</f>
        <v>G24AS00500</v>
      </c>
      <c r="B201" s="6" t="s">
        <v>2168</v>
      </c>
      <c r="C201" s="6" t="s">
        <v>68</v>
      </c>
      <c r="D201" s="6" t="s">
        <v>69</v>
      </c>
      <c r="E201" s="7">
        <v>45497</v>
      </c>
      <c r="F201" s="8">
        <v>100000</v>
      </c>
      <c r="G201" s="8">
        <v>0</v>
      </c>
      <c r="I201" s="6" t="s">
        <v>2169</v>
      </c>
      <c r="J201" s="6" t="s">
        <v>2170</v>
      </c>
    </row>
    <row r="202" spans="1:10" ht="60" x14ac:dyDescent="0.25">
      <c r="A202" s="6" t="str">
        <f>HYPERLINK("https://grants.gov/search-results-detail/294523","USGS-17-FA-0222")</f>
        <v>USGS-17-FA-0222</v>
      </c>
      <c r="B202" s="6" t="s">
        <v>2883</v>
      </c>
      <c r="C202" s="6" t="s">
        <v>68</v>
      </c>
      <c r="D202" s="6" t="s">
        <v>69</v>
      </c>
      <c r="F202" s="8">
        <v>35000</v>
      </c>
      <c r="G202" s="8">
        <v>1</v>
      </c>
      <c r="H202" s="6">
        <v>1</v>
      </c>
      <c r="I202" s="6" t="s">
        <v>2884</v>
      </c>
      <c r="J202" s="6" t="s">
        <v>2885</v>
      </c>
    </row>
    <row r="203" spans="1:10" ht="105" x14ac:dyDescent="0.25">
      <c r="A203" s="6" t="str">
        <f>HYPERLINK("https://grants.gov/search-results-detail/278692","USGS-15-FA-0426")</f>
        <v>USGS-15-FA-0426</v>
      </c>
      <c r="B203" s="6" t="s">
        <v>2918</v>
      </c>
      <c r="C203" s="6" t="s">
        <v>68</v>
      </c>
      <c r="D203" s="6" t="s">
        <v>69</v>
      </c>
      <c r="F203" s="8">
        <v>325000</v>
      </c>
      <c r="G203" s="8">
        <v>10000</v>
      </c>
      <c r="H203" s="6">
        <v>1</v>
      </c>
      <c r="I203" s="6" t="s">
        <v>2919</v>
      </c>
      <c r="J203" s="6" t="s">
        <v>2920</v>
      </c>
    </row>
    <row r="204" spans="1:10" ht="75" x14ac:dyDescent="0.25">
      <c r="A204" s="6" t="str">
        <f>HYPERLINK("https://grants.gov/search-results-detail/353863","ETA-FLC-TEGL-12-21-C2")</f>
        <v>ETA-FLC-TEGL-12-21-C2</v>
      </c>
      <c r="B204" s="6" t="s">
        <v>118</v>
      </c>
      <c r="C204" s="6" t="s">
        <v>119</v>
      </c>
      <c r="D204" s="6" t="s">
        <v>120</v>
      </c>
      <c r="E204" s="7">
        <v>45441</v>
      </c>
      <c r="F204" s="8">
        <v>2222835</v>
      </c>
      <c r="G204" s="8">
        <v>5000</v>
      </c>
      <c r="H204" s="6">
        <v>55</v>
      </c>
      <c r="I204" s="6" t="s">
        <v>121</v>
      </c>
      <c r="J204" s="6" t="s">
        <v>122</v>
      </c>
    </row>
    <row r="205" spans="1:10" ht="210" x14ac:dyDescent="0.25">
      <c r="A205" s="6" t="str">
        <f>HYPERLINK("https://grants.gov/search-results-detail/352104","FOA-ETA-24-12")</f>
        <v>FOA-ETA-24-12</v>
      </c>
      <c r="B205" s="6" t="s">
        <v>751</v>
      </c>
      <c r="C205" s="6" t="s">
        <v>119</v>
      </c>
      <c r="D205" s="6" t="s">
        <v>120</v>
      </c>
      <c r="E205" s="7">
        <v>45453</v>
      </c>
      <c r="F205" s="8">
        <v>5000000</v>
      </c>
      <c r="G205" s="8">
        <v>2000000</v>
      </c>
      <c r="H205" s="6">
        <v>6</v>
      </c>
      <c r="I205" s="6" t="s">
        <v>752</v>
      </c>
      <c r="J205" s="6" t="s">
        <v>753</v>
      </c>
    </row>
    <row r="206" spans="1:10" ht="135" x14ac:dyDescent="0.25">
      <c r="A206" s="6" t="str">
        <f>HYPERLINK("https://grants.gov/search-results-detail/348153","TEGL-ETA-17-22-AC")</f>
        <v>TEGL-ETA-17-22-AC</v>
      </c>
      <c r="B206" s="6" t="s">
        <v>2288</v>
      </c>
      <c r="C206" s="6" t="s">
        <v>119</v>
      </c>
      <c r="D206" s="6" t="s">
        <v>120</v>
      </c>
      <c r="E206" s="7">
        <v>45459</v>
      </c>
      <c r="F206" s="8">
        <v>23902460</v>
      </c>
      <c r="G206" s="8">
        <v>0</v>
      </c>
      <c r="H206" s="6">
        <v>59</v>
      </c>
      <c r="I206" s="6" t="s">
        <v>2289</v>
      </c>
      <c r="J206" s="6" t="s">
        <v>2290</v>
      </c>
    </row>
    <row r="207" spans="1:10" ht="409.5" x14ac:dyDescent="0.25">
      <c r="A207" s="6" t="str">
        <f>HYPERLINK("https://grants.gov/search-results-detail/353004","FOA-ETA-24-08")</f>
        <v>FOA-ETA-24-08</v>
      </c>
      <c r="B207" s="6" t="s">
        <v>926</v>
      </c>
      <c r="C207" s="6" t="s">
        <v>119</v>
      </c>
      <c r="D207" s="6" t="s">
        <v>120</v>
      </c>
      <c r="E207" s="7">
        <v>45463</v>
      </c>
      <c r="F207" s="8">
        <v>1500000</v>
      </c>
      <c r="G207" s="8">
        <v>150000</v>
      </c>
      <c r="H207" s="6">
        <v>36</v>
      </c>
      <c r="I207" s="6" t="s">
        <v>927</v>
      </c>
      <c r="J207" s="6" t="s">
        <v>928</v>
      </c>
    </row>
    <row r="208" spans="1:10" ht="105" x14ac:dyDescent="0.25">
      <c r="A208" s="6" t="str">
        <f>HYPERLINK("https://grants.gov/search-results-detail/345349","ETA-TEGL-04-18")</f>
        <v>ETA-TEGL-04-18</v>
      </c>
      <c r="B208" s="6" t="s">
        <v>2409</v>
      </c>
      <c r="C208" s="6" t="s">
        <v>119</v>
      </c>
      <c r="D208" s="6" t="s">
        <v>120</v>
      </c>
      <c r="E208" s="7">
        <v>45473</v>
      </c>
      <c r="F208" s="8">
        <v>100000000</v>
      </c>
      <c r="G208" s="8">
        <v>0</v>
      </c>
      <c r="H208" s="6">
        <v>50</v>
      </c>
      <c r="I208" s="6" t="s">
        <v>2410</v>
      </c>
      <c r="J208" s="6" t="s">
        <v>2411</v>
      </c>
    </row>
    <row r="209" spans="1:10" ht="409.5" x14ac:dyDescent="0.25">
      <c r="A209" s="6" t="str">
        <f>HYPERLINK("https://grants.gov/search-results-detail/351374","FOA-WB-24-00")</f>
        <v>FOA-WB-24-00</v>
      </c>
      <c r="B209" s="6" t="s">
        <v>727</v>
      </c>
      <c r="C209" s="6" t="s">
        <v>728</v>
      </c>
      <c r="D209" s="6" t="s">
        <v>729</v>
      </c>
      <c r="E209" s="7">
        <v>45453</v>
      </c>
      <c r="F209" s="8">
        <v>750000</v>
      </c>
      <c r="G209" s="8">
        <v>350000</v>
      </c>
      <c r="H209" s="6">
        <v>17</v>
      </c>
      <c r="I209" s="6" t="s">
        <v>730</v>
      </c>
      <c r="J209" s="6" t="s">
        <v>731</v>
      </c>
    </row>
    <row r="210" spans="1:10" ht="409.5" x14ac:dyDescent="0.25">
      <c r="A210" s="6" t="str">
        <f>HYPERLINK("https://grants.gov/search-results-detail/353672","SCAKAB-24-GR-001-SCA-04222024")</f>
        <v>SCAKAB-24-GR-001-SCA-04222024</v>
      </c>
      <c r="B210" s="6" t="s">
        <v>394</v>
      </c>
      <c r="C210" s="6" t="s">
        <v>395</v>
      </c>
      <c r="D210" s="6" t="s">
        <v>396</v>
      </c>
      <c r="E210" s="7">
        <v>45464</v>
      </c>
      <c r="F210" s="8">
        <v>750000</v>
      </c>
      <c r="G210" s="8">
        <v>300000</v>
      </c>
      <c r="H210" s="6">
        <v>1</v>
      </c>
      <c r="I210" s="6" t="s">
        <v>397</v>
      </c>
      <c r="J210" s="6" t="s">
        <v>398</v>
      </c>
    </row>
    <row r="211" spans="1:10" ht="409.5" x14ac:dyDescent="0.25">
      <c r="A211" s="6" t="str">
        <f>HYPERLINK("https://grants.gov/search-results-detail/353677","SCAKAB-24-GR-002-SCA-04222024")</f>
        <v>SCAKAB-24-GR-002-SCA-04222024</v>
      </c>
      <c r="B211" s="6" t="s">
        <v>399</v>
      </c>
      <c r="C211" s="6" t="s">
        <v>395</v>
      </c>
      <c r="D211" s="6" t="s">
        <v>396</v>
      </c>
      <c r="E211" s="7">
        <v>45464</v>
      </c>
      <c r="F211" s="8">
        <v>750000</v>
      </c>
      <c r="G211" s="8">
        <v>250000</v>
      </c>
      <c r="H211" s="6">
        <v>1</v>
      </c>
      <c r="I211" s="6" t="s">
        <v>397</v>
      </c>
      <c r="J211" s="6" t="s">
        <v>400</v>
      </c>
    </row>
    <row r="212" spans="1:10" ht="195" x14ac:dyDescent="0.25">
      <c r="A212" s="6" t="str">
        <f>HYPERLINK("https://grants.gov/search-results-detail/352894","DOS-ANGOLA-SSH-FY24-01")</f>
        <v>DOS-ANGOLA-SSH-FY24-01</v>
      </c>
      <c r="B212" s="6" t="s">
        <v>1671</v>
      </c>
      <c r="C212" s="6" t="s">
        <v>1672</v>
      </c>
      <c r="D212" s="6" t="s">
        <v>1673</v>
      </c>
      <c r="E212" s="7">
        <v>45473</v>
      </c>
      <c r="F212" s="8">
        <v>10000</v>
      </c>
      <c r="G212" s="8">
        <v>2500</v>
      </c>
      <c r="H212" s="6">
        <v>4</v>
      </c>
      <c r="I212" s="6" t="s">
        <v>1674</v>
      </c>
      <c r="J212" s="6" t="s">
        <v>1675</v>
      </c>
    </row>
    <row r="213" spans="1:10" ht="195" x14ac:dyDescent="0.25">
      <c r="A213" s="6" t="str">
        <f>HYPERLINK("https://grants.gov/search-results-detail/352895","DOS-STP-SSH-FY24-01")</f>
        <v>DOS-STP-SSH-FY24-01</v>
      </c>
      <c r="B213" s="6" t="s">
        <v>1676</v>
      </c>
      <c r="C213" s="6" t="s">
        <v>1672</v>
      </c>
      <c r="D213" s="6" t="s">
        <v>1673</v>
      </c>
      <c r="E213" s="7">
        <v>45473</v>
      </c>
      <c r="F213" s="8">
        <v>10000</v>
      </c>
      <c r="G213" s="8">
        <v>2000</v>
      </c>
      <c r="H213" s="6">
        <v>4</v>
      </c>
      <c r="I213" s="6" t="s">
        <v>1677</v>
      </c>
      <c r="J213" s="6" t="s">
        <v>1675</v>
      </c>
    </row>
    <row r="214" spans="1:10" ht="409.5" x14ac:dyDescent="0.25">
      <c r="A214" s="6" t="str">
        <f>HYPERLINK("https://grants.gov/search-results-detail/352465","PAS-AR200-FY24-02")</f>
        <v>PAS-AR200-FY24-02</v>
      </c>
      <c r="B214" s="6" t="s">
        <v>1834</v>
      </c>
      <c r="C214" s="6" t="s">
        <v>1835</v>
      </c>
      <c r="D214" s="6" t="s">
        <v>1836</v>
      </c>
      <c r="E214" s="7">
        <v>45519</v>
      </c>
      <c r="F214" s="8">
        <v>50000</v>
      </c>
      <c r="G214" s="8">
        <v>15000</v>
      </c>
      <c r="I214" s="6" t="s">
        <v>1837</v>
      </c>
      <c r="J214" s="6" t="s">
        <v>1838</v>
      </c>
    </row>
    <row r="215" spans="1:10" ht="390" x14ac:dyDescent="0.25">
      <c r="A215" s="6" t="str">
        <f>HYPERLINK("https://grants.gov/search-results-detail/351797","PAS-AR200-FY24-03")</f>
        <v>PAS-AR200-FY24-03</v>
      </c>
      <c r="B215" s="6" t="s">
        <v>1993</v>
      </c>
      <c r="C215" s="6" t="s">
        <v>1835</v>
      </c>
      <c r="D215" s="6" t="s">
        <v>1836</v>
      </c>
      <c r="F215" s="8">
        <v>100000</v>
      </c>
      <c r="G215" s="8">
        <v>10000</v>
      </c>
      <c r="I215" s="6" t="s">
        <v>1021</v>
      </c>
      <c r="J215" s="6" t="s">
        <v>1994</v>
      </c>
    </row>
    <row r="216" spans="1:10" ht="195" x14ac:dyDescent="0.25">
      <c r="A216" s="6" t="str">
        <f>HYPERLINK("https://grants.gov/search-results-detail/290351","PAS-AUS-FY2017-1")</f>
        <v>PAS-AUS-FY2017-1</v>
      </c>
      <c r="B216" s="6" t="s">
        <v>2895</v>
      </c>
      <c r="C216" s="6" t="s">
        <v>2896</v>
      </c>
      <c r="D216" s="6" t="s">
        <v>2897</v>
      </c>
      <c r="F216" s="8">
        <v>15000</v>
      </c>
      <c r="G216" s="8">
        <v>5000</v>
      </c>
      <c r="I216" s="6" t="s">
        <v>2898</v>
      </c>
      <c r="J216" s="6" t="s">
        <v>2899</v>
      </c>
    </row>
    <row r="217" spans="1:10" ht="409.5" x14ac:dyDescent="0.25">
      <c r="A217" s="6" t="str">
        <f>HYPERLINK("https://grants.gov/search-results-detail/353477","SAU90024CA0049")</f>
        <v>SAU90024CA0049</v>
      </c>
      <c r="B217" s="6" t="s">
        <v>625</v>
      </c>
      <c r="C217" s="6" t="s">
        <v>626</v>
      </c>
      <c r="D217" s="6" t="s">
        <v>627</v>
      </c>
      <c r="E217" s="7">
        <v>45458</v>
      </c>
      <c r="F217" s="8">
        <v>150000</v>
      </c>
      <c r="G217" s="8">
        <v>100000</v>
      </c>
      <c r="H217" s="6">
        <v>1</v>
      </c>
      <c r="I217" s="6" t="s">
        <v>628</v>
      </c>
      <c r="J217" s="6" t="s">
        <v>629</v>
      </c>
    </row>
    <row r="218" spans="1:10" ht="409.5" x14ac:dyDescent="0.25">
      <c r="A218" s="6" t="str">
        <f>HYPERLINK("https://grants.gov/search-results-detail/352117","PDS-BUJUMBURA-FY24-02")</f>
        <v>PDS-BUJUMBURA-FY24-02</v>
      </c>
      <c r="B218" s="6" t="s">
        <v>1933</v>
      </c>
      <c r="C218" s="6" t="s">
        <v>1934</v>
      </c>
      <c r="D218" s="6" t="s">
        <v>1935</v>
      </c>
      <c r="E218" s="7">
        <v>45471</v>
      </c>
      <c r="F218" s="8">
        <v>20000</v>
      </c>
      <c r="G218" s="8">
        <v>0</v>
      </c>
      <c r="H218" s="6">
        <v>10</v>
      </c>
      <c r="I218" s="6" t="s">
        <v>1936</v>
      </c>
      <c r="J218" s="6" t="s">
        <v>1937</v>
      </c>
    </row>
    <row r="219" spans="1:10" ht="409.5" x14ac:dyDescent="0.25">
      <c r="A219" s="6" t="str">
        <f>HYPERLINK("https://grants.gov/search-results-detail/351716","PAS-BE200-FY24-01")</f>
        <v>PAS-BE200-FY24-01</v>
      </c>
      <c r="B219" s="6" t="s">
        <v>2005</v>
      </c>
      <c r="C219" s="6" t="s">
        <v>2006</v>
      </c>
      <c r="D219" s="6" t="s">
        <v>2007</v>
      </c>
      <c r="E219" s="7">
        <v>45504</v>
      </c>
      <c r="F219" s="8">
        <v>50000</v>
      </c>
      <c r="G219" s="8">
        <v>500</v>
      </c>
      <c r="H219" s="6">
        <v>25</v>
      </c>
      <c r="I219" s="6" t="s">
        <v>2008</v>
      </c>
      <c r="J219" s="6" t="s">
        <v>2009</v>
      </c>
    </row>
    <row r="220" spans="1:10" ht="409.5" x14ac:dyDescent="0.25">
      <c r="A220" s="6" t="str">
        <f>HYPERLINK("https://grants.gov/search-results-detail/352885","COTONOU-PSF-FY2024-001")</f>
        <v>COTONOU-PSF-FY2024-001</v>
      </c>
      <c r="B220" s="6" t="s">
        <v>1638</v>
      </c>
      <c r="C220" s="6" t="s">
        <v>706</v>
      </c>
      <c r="D220" s="6" t="s">
        <v>707</v>
      </c>
      <c r="E220" s="7">
        <v>45429</v>
      </c>
      <c r="F220" s="8" t="s">
        <v>18</v>
      </c>
      <c r="G220" s="8" t="s">
        <v>18</v>
      </c>
      <c r="I220" s="6" t="s">
        <v>708</v>
      </c>
      <c r="J220" s="6" t="s">
        <v>1639</v>
      </c>
    </row>
    <row r="221" spans="1:10" ht="409.5" x14ac:dyDescent="0.25">
      <c r="A221" s="6" t="str">
        <f>HYPERLINK("https://grants.gov/search-results-detail/353390","PAS-SGP-FY24")</f>
        <v>PAS-SGP-FY24</v>
      </c>
      <c r="B221" s="6" t="s">
        <v>881</v>
      </c>
      <c r="C221" s="6" t="s">
        <v>706</v>
      </c>
      <c r="D221" s="6" t="s">
        <v>707</v>
      </c>
      <c r="E221" s="7">
        <v>45442</v>
      </c>
      <c r="F221" s="8">
        <v>25000</v>
      </c>
      <c r="G221" s="8">
        <v>5000</v>
      </c>
      <c r="H221" s="6">
        <v>9</v>
      </c>
      <c r="I221" s="6" t="s">
        <v>882</v>
      </c>
      <c r="J221" s="6" t="s">
        <v>883</v>
      </c>
    </row>
    <row r="222" spans="1:10" ht="409.5" x14ac:dyDescent="0.25">
      <c r="A222" s="6" t="str">
        <f>HYPERLINK("https://grants.gov/search-results-detail/353489","COTONOU-ARF-FY2024002")</f>
        <v>COTONOU-ARF-FY2024002</v>
      </c>
      <c r="B222" s="6" t="s">
        <v>705</v>
      </c>
      <c r="C222" s="6" t="s">
        <v>706</v>
      </c>
      <c r="D222" s="6" t="s">
        <v>707</v>
      </c>
      <c r="E222" s="7">
        <v>45455</v>
      </c>
      <c r="F222" s="8">
        <v>25000</v>
      </c>
      <c r="G222" s="8">
        <v>20000</v>
      </c>
      <c r="H222" s="6">
        <v>5</v>
      </c>
      <c r="I222" s="6" t="s">
        <v>708</v>
      </c>
      <c r="J222" s="6" t="s">
        <v>709</v>
      </c>
    </row>
    <row r="223" spans="1:10" ht="409.5" x14ac:dyDescent="0.25">
      <c r="A223" s="6" t="str">
        <f>HYPERLINK("https://grants.gov/search-results-detail/351461","PAS-BF-FY24-APS001")</f>
        <v>PAS-BF-FY24-APS001</v>
      </c>
      <c r="B223" s="6" t="s">
        <v>2063</v>
      </c>
      <c r="C223" s="6" t="s">
        <v>2064</v>
      </c>
      <c r="D223" s="6" t="s">
        <v>2065</v>
      </c>
      <c r="E223" s="7">
        <v>45471</v>
      </c>
      <c r="F223" s="8">
        <v>25000</v>
      </c>
      <c r="G223" s="8">
        <v>1000</v>
      </c>
      <c r="H223" s="6">
        <v>10</v>
      </c>
      <c r="I223" s="6" t="s">
        <v>2066</v>
      </c>
      <c r="J223" s="6" t="s">
        <v>2067</v>
      </c>
    </row>
    <row r="224" spans="1:10" ht="409.5" x14ac:dyDescent="0.25">
      <c r="A224" s="6" t="str">
        <f>HYPERLINK("https://grants.gov/search-results-detail/350972","PDS-APS-FY24-01-SOFIA")</f>
        <v>PDS-APS-FY24-01-SOFIA</v>
      </c>
      <c r="B224" s="6" t="s">
        <v>2118</v>
      </c>
      <c r="C224" s="6" t="s">
        <v>2119</v>
      </c>
      <c r="D224" s="6" t="s">
        <v>2120</v>
      </c>
      <c r="E224" s="7">
        <v>45506</v>
      </c>
      <c r="F224" s="8">
        <v>25000</v>
      </c>
      <c r="G224" s="8">
        <v>500</v>
      </c>
      <c r="I224" s="6" t="s">
        <v>2121</v>
      </c>
      <c r="J224" s="6" t="s">
        <v>2122</v>
      </c>
    </row>
    <row r="225" spans="1:10" ht="300" x14ac:dyDescent="0.25">
      <c r="A225" s="6" t="str">
        <f>HYPERLINK("https://grants.gov/search-results-detail/353584","BH-009-FY2024")</f>
        <v>BH-009-FY2024</v>
      </c>
      <c r="B225" s="6" t="s">
        <v>497</v>
      </c>
      <c r="C225" s="6" t="s">
        <v>498</v>
      </c>
      <c r="D225" s="6" t="s">
        <v>499</v>
      </c>
      <c r="E225" s="7">
        <v>45457</v>
      </c>
      <c r="F225" s="8">
        <v>140000</v>
      </c>
      <c r="G225" s="8">
        <v>1000</v>
      </c>
      <c r="H225" s="6">
        <v>1</v>
      </c>
      <c r="I225" s="6" t="s">
        <v>500</v>
      </c>
      <c r="J225" s="6" t="s">
        <v>501</v>
      </c>
    </row>
    <row r="226" spans="1:10" ht="409.5" x14ac:dyDescent="0.25">
      <c r="A226" s="6" t="str">
        <f>HYPERLINK("https://grants.gov/search-results-detail/353508","BH-008-FY2024")</f>
        <v>BH-008-FY2024</v>
      </c>
      <c r="B226" s="6" t="s">
        <v>682</v>
      </c>
      <c r="C226" s="6" t="s">
        <v>498</v>
      </c>
      <c r="D226" s="6" t="s">
        <v>499</v>
      </c>
      <c r="E226" s="7">
        <v>45471</v>
      </c>
      <c r="F226" s="8">
        <v>130000</v>
      </c>
      <c r="G226" s="8">
        <v>60000</v>
      </c>
      <c r="H226" s="6">
        <v>1</v>
      </c>
      <c r="I226" s="6" t="s">
        <v>683</v>
      </c>
      <c r="J226" s="6" t="s">
        <v>684</v>
      </c>
    </row>
    <row r="227" spans="1:10" ht="409.5" x14ac:dyDescent="0.25">
      <c r="A227" s="6" t="str">
        <f>HYPERLINK("https://grants.gov/search-results-detail/353181","PAS-BELMO-APS-FY24")</f>
        <v>PAS-BELMO-APS-FY24</v>
      </c>
      <c r="B227" s="6" t="s">
        <v>1018</v>
      </c>
      <c r="C227" s="6" t="s">
        <v>1019</v>
      </c>
      <c r="D227" s="6" t="s">
        <v>1020</v>
      </c>
      <c r="E227" s="7">
        <v>45504</v>
      </c>
      <c r="F227" s="8">
        <v>10000</v>
      </c>
      <c r="G227" s="8">
        <v>1000</v>
      </c>
      <c r="H227" s="6">
        <v>4</v>
      </c>
      <c r="I227" s="6" t="s">
        <v>1021</v>
      </c>
      <c r="J227" s="6" t="s">
        <v>1022</v>
      </c>
    </row>
    <row r="228" spans="1:10" ht="409.5" x14ac:dyDescent="0.25">
      <c r="A228" s="6" t="str">
        <f>HYPERLINK("https://grants.gov/search-results-detail/353037","PAS-BRAZIL-FY24-APS01")</f>
        <v>PAS-BRAZIL-FY24-APS01</v>
      </c>
      <c r="B228" s="6" t="s">
        <v>1543</v>
      </c>
      <c r="C228" s="6" t="s">
        <v>1544</v>
      </c>
      <c r="D228" s="6" t="s">
        <v>1545</v>
      </c>
      <c r="E228" s="7">
        <v>45473</v>
      </c>
      <c r="F228" s="8">
        <v>25000</v>
      </c>
      <c r="G228" s="8">
        <v>5000</v>
      </c>
      <c r="I228" s="6" t="s">
        <v>1546</v>
      </c>
      <c r="J228" s="6" t="s">
        <v>1547</v>
      </c>
    </row>
    <row r="229" spans="1:10" ht="409.5" x14ac:dyDescent="0.25">
      <c r="A229" s="6" t="str">
        <f>HYPERLINK("https://grants.gov/search-results-detail/352797","DOS-GABORONE-GR-ASSHF-2024")</f>
        <v>DOS-GABORONE-GR-ASSHF-2024</v>
      </c>
      <c r="B229" s="6" t="s">
        <v>1718</v>
      </c>
      <c r="C229" s="6" t="s">
        <v>1719</v>
      </c>
      <c r="D229" s="6" t="s">
        <v>1720</v>
      </c>
      <c r="E229" s="7">
        <v>45429</v>
      </c>
      <c r="F229" s="8">
        <v>15000</v>
      </c>
      <c r="G229" s="8">
        <v>3000</v>
      </c>
      <c r="H229" s="6">
        <v>5</v>
      </c>
      <c r="I229" s="6" t="s">
        <v>1721</v>
      </c>
      <c r="J229" s="6" t="s">
        <v>1722</v>
      </c>
    </row>
    <row r="230" spans="1:10" ht="409.5" x14ac:dyDescent="0.25">
      <c r="A230" s="6" t="str">
        <f>HYPERLINK("https://grants.gov/search-results-detail/352193","PDS-STGO-APS-FY2024")</f>
        <v>PDS-STGO-APS-FY2024</v>
      </c>
      <c r="B230" s="6" t="s">
        <v>1910</v>
      </c>
      <c r="C230" s="6" t="s">
        <v>1911</v>
      </c>
      <c r="D230" s="6" t="s">
        <v>1912</v>
      </c>
      <c r="E230" s="7">
        <v>45427</v>
      </c>
      <c r="F230" s="8">
        <v>100000</v>
      </c>
      <c r="G230" s="8">
        <v>40000</v>
      </c>
      <c r="I230" s="6" t="s">
        <v>1913</v>
      </c>
      <c r="J230" s="6" t="s">
        <v>1914</v>
      </c>
    </row>
    <row r="231" spans="1:10" ht="409.5" x14ac:dyDescent="0.25">
      <c r="A231" s="6" t="str">
        <f>HYPERLINK("https://grants.gov/search-results-detail/352912","EAPBJ-PASFY24-APS-001-20240207")</f>
        <v>EAPBJ-PASFY24-APS-001-20240207</v>
      </c>
      <c r="B231" s="6" t="s">
        <v>1645</v>
      </c>
      <c r="C231" s="6" t="s">
        <v>1646</v>
      </c>
      <c r="D231" s="6" t="s">
        <v>1647</v>
      </c>
      <c r="E231" s="7">
        <v>45473</v>
      </c>
      <c r="F231" s="8">
        <v>150000</v>
      </c>
      <c r="G231" s="8">
        <v>5000</v>
      </c>
      <c r="I231" s="6" t="s">
        <v>1648</v>
      </c>
      <c r="J231" s="6" t="s">
        <v>1649</v>
      </c>
    </row>
    <row r="232" spans="1:10" ht="285" x14ac:dyDescent="0.25">
      <c r="A232" s="6" t="str">
        <f>HYPERLINK("https://grants.gov/search-results-detail/353804","AFYDE-ARDF-GR-POLECON-2024")</f>
        <v>AFYDE-ARDF-GR-POLECON-2024</v>
      </c>
      <c r="B232" s="6" t="s">
        <v>193</v>
      </c>
      <c r="C232" s="6" t="s">
        <v>194</v>
      </c>
      <c r="D232" s="6" t="s">
        <v>195</v>
      </c>
      <c r="E232" s="7">
        <v>45466</v>
      </c>
      <c r="F232" s="8">
        <v>100000</v>
      </c>
      <c r="G232" s="8">
        <v>24000</v>
      </c>
      <c r="I232" s="6" t="s">
        <v>196</v>
      </c>
      <c r="J232" s="6" t="s">
        <v>197</v>
      </c>
    </row>
    <row r="233" spans="1:10" ht="300" x14ac:dyDescent="0.25">
      <c r="A233" s="6" t="str">
        <f>HYPERLINK("https://grants.gov/search-results-detail/353796","AFYDE-TSCTP-CVE-WLP-GR-POLECON-2024")</f>
        <v>AFYDE-TSCTP-CVE-WLP-GR-POLECON-2024</v>
      </c>
      <c r="B233" s="6" t="s">
        <v>204</v>
      </c>
      <c r="C233" s="6" t="s">
        <v>194</v>
      </c>
      <c r="D233" s="6" t="s">
        <v>195</v>
      </c>
      <c r="E233" s="7">
        <v>45466</v>
      </c>
      <c r="F233" s="8">
        <v>200000</v>
      </c>
      <c r="G233" s="8">
        <v>100000</v>
      </c>
      <c r="I233" s="6" t="s">
        <v>205</v>
      </c>
      <c r="J233" s="6" t="s">
        <v>206</v>
      </c>
    </row>
    <row r="234" spans="1:10" ht="409.5" x14ac:dyDescent="0.25">
      <c r="A234" s="6" t="str">
        <f>HYPERLINK("https://grants.gov/search-results-detail/351067","EMB-YAOUNDE-PDS-APS-SOI-FY24-01")</f>
        <v>EMB-YAOUNDE-PDS-APS-SOI-FY24-01</v>
      </c>
      <c r="B234" s="6" t="s">
        <v>2101</v>
      </c>
      <c r="C234" s="6" t="s">
        <v>194</v>
      </c>
      <c r="D234" s="6" t="s">
        <v>195</v>
      </c>
      <c r="E234" s="7">
        <v>45488</v>
      </c>
      <c r="F234" s="8">
        <v>25000</v>
      </c>
      <c r="G234" s="8">
        <v>5000</v>
      </c>
      <c r="H234" s="6">
        <v>10</v>
      </c>
      <c r="I234" s="6" t="s">
        <v>2102</v>
      </c>
      <c r="J234" s="6" t="s">
        <v>2103</v>
      </c>
    </row>
    <row r="235" spans="1:10" ht="409.5" x14ac:dyDescent="0.25">
      <c r="A235" s="6" t="str">
        <f>HYPERLINK("https://grants.gov/search-results-detail/353593","AFPCO-24-02")</f>
        <v>AFPCO-24-02</v>
      </c>
      <c r="B235" s="6" t="s">
        <v>526</v>
      </c>
      <c r="C235" s="6" t="s">
        <v>527</v>
      </c>
      <c r="D235" s="6" t="s">
        <v>528</v>
      </c>
      <c r="E235" s="7">
        <v>45461</v>
      </c>
      <c r="F235" s="8">
        <v>100000</v>
      </c>
      <c r="G235" s="8">
        <v>50000</v>
      </c>
      <c r="H235" s="6">
        <v>3</v>
      </c>
      <c r="I235" s="6" t="s">
        <v>529</v>
      </c>
      <c r="J235" s="6" t="s">
        <v>530</v>
      </c>
    </row>
    <row r="236" spans="1:10" ht="315" x14ac:dyDescent="0.25">
      <c r="A236" s="6" t="str">
        <f>HYPERLINK("https://grants.gov/search-results-detail/351938","PDS-BRAZZAVILLE-FY24-03")</f>
        <v>PDS-BRAZZAVILLE-FY24-03</v>
      </c>
      <c r="B236" s="6" t="s">
        <v>1966</v>
      </c>
      <c r="C236" s="6" t="s">
        <v>1967</v>
      </c>
      <c r="D236" s="6" t="s">
        <v>1968</v>
      </c>
      <c r="E236" s="7">
        <v>45473</v>
      </c>
      <c r="F236" s="8">
        <v>20000</v>
      </c>
      <c r="G236" s="8">
        <v>500</v>
      </c>
      <c r="H236" s="6">
        <v>10</v>
      </c>
      <c r="I236" s="6" t="s">
        <v>1969</v>
      </c>
      <c r="J236" s="6" t="s">
        <v>1970</v>
      </c>
    </row>
    <row r="237" spans="1:10" ht="409.5" x14ac:dyDescent="0.25">
      <c r="A237" s="6" t="str">
        <f>HYPERLINK("https://grants.gov/search-results-detail/352859","PDS-PRAIA-FY24-APS")</f>
        <v>PDS-PRAIA-FY24-APS</v>
      </c>
      <c r="B237" s="6" t="s">
        <v>1689</v>
      </c>
      <c r="C237" s="6" t="s">
        <v>1690</v>
      </c>
      <c r="D237" s="6" t="s">
        <v>1691</v>
      </c>
      <c r="E237" s="7">
        <v>45473</v>
      </c>
      <c r="F237" s="8">
        <v>24000</v>
      </c>
      <c r="G237" s="8">
        <v>250</v>
      </c>
      <c r="I237" s="6" t="s">
        <v>1692</v>
      </c>
      <c r="J237" s="6" t="s">
        <v>1693</v>
      </c>
    </row>
    <row r="238" spans="1:10" ht="409.5" x14ac:dyDescent="0.25">
      <c r="A238" s="6" t="str">
        <f>HYPERLINK("https://grants.gov/search-results-detail/325599","AFPRA-20-04")</f>
        <v>AFPRA-20-04</v>
      </c>
      <c r="B238" s="6" t="s">
        <v>2760</v>
      </c>
      <c r="C238" s="6" t="s">
        <v>1690</v>
      </c>
      <c r="D238" s="6" t="s">
        <v>1691</v>
      </c>
      <c r="F238" s="8">
        <v>10000</v>
      </c>
      <c r="G238" s="8">
        <v>3000</v>
      </c>
      <c r="H238" s="6">
        <v>6</v>
      </c>
      <c r="I238" s="6" t="s">
        <v>2761</v>
      </c>
      <c r="J238" s="6" t="s">
        <v>2762</v>
      </c>
    </row>
    <row r="239" spans="1:10" ht="409.5" x14ac:dyDescent="0.25">
      <c r="A239" s="6" t="str">
        <f>HYPERLINK("https://grants.gov/search-results-detail/350890","PAS-001-FY2024")</f>
        <v>PAS-001-FY2024</v>
      </c>
      <c r="B239" s="6" t="s">
        <v>2123</v>
      </c>
      <c r="C239" s="6" t="s">
        <v>241</v>
      </c>
      <c r="D239" s="6" t="s">
        <v>242</v>
      </c>
      <c r="E239" s="7">
        <v>45443</v>
      </c>
      <c r="F239" s="8">
        <v>24000</v>
      </c>
      <c r="G239" s="8">
        <v>5000</v>
      </c>
      <c r="H239" s="6">
        <v>60</v>
      </c>
      <c r="I239" s="6" t="s">
        <v>2124</v>
      </c>
      <c r="J239" s="6" t="s">
        <v>2125</v>
      </c>
    </row>
    <row r="240" spans="1:10" ht="409.5" x14ac:dyDescent="0.25">
      <c r="A240" s="6" t="str">
        <f>HYPERLINK("https://grants.gov/search-results-detail/353742","PAS-005-FY2024")</f>
        <v>PAS-005-FY2024</v>
      </c>
      <c r="B240" s="6" t="s">
        <v>240</v>
      </c>
      <c r="C240" s="6" t="s">
        <v>241</v>
      </c>
      <c r="D240" s="6" t="s">
        <v>242</v>
      </c>
      <c r="E240" s="7">
        <v>45448</v>
      </c>
      <c r="F240" s="8">
        <v>100000</v>
      </c>
      <c r="G240" s="8" t="s">
        <v>18</v>
      </c>
      <c r="H240" s="6">
        <v>1</v>
      </c>
      <c r="I240" s="6" t="s">
        <v>116</v>
      </c>
      <c r="J240" s="6" t="s">
        <v>243</v>
      </c>
    </row>
    <row r="241" spans="1:10" ht="405" x14ac:dyDescent="0.25">
      <c r="A241" s="6" t="str">
        <f>HYPERLINK("https://grants.gov/search-results-detail/353047","SFOP0010304")</f>
        <v>SFOP0010304</v>
      </c>
      <c r="B241" s="6" t="s">
        <v>1468</v>
      </c>
      <c r="C241" s="6" t="s">
        <v>84</v>
      </c>
      <c r="D241" s="6" t="s">
        <v>85</v>
      </c>
      <c r="E241" s="7">
        <v>45429</v>
      </c>
      <c r="F241" s="8">
        <v>2000000</v>
      </c>
      <c r="G241" s="8">
        <v>1000000</v>
      </c>
      <c r="H241" s="6">
        <v>2</v>
      </c>
      <c r="I241" s="6" t="s">
        <v>1469</v>
      </c>
      <c r="J241" s="6" t="s">
        <v>1470</v>
      </c>
    </row>
    <row r="242" spans="1:10" ht="165" x14ac:dyDescent="0.25">
      <c r="A242" s="6" t="str">
        <f>HYPERLINK("https://grants.gov/search-results-detail/353301","SFOP0010329")</f>
        <v>SFOP0010329</v>
      </c>
      <c r="B242" s="6" t="s">
        <v>1111</v>
      </c>
      <c r="C242" s="6" t="s">
        <v>84</v>
      </c>
      <c r="D242" s="6" t="s">
        <v>85</v>
      </c>
      <c r="E242" s="7">
        <v>45442</v>
      </c>
      <c r="F242" s="8">
        <v>986679</v>
      </c>
      <c r="G242" s="8">
        <v>986679</v>
      </c>
      <c r="H242" s="6">
        <v>1</v>
      </c>
      <c r="I242" s="6" t="s">
        <v>327</v>
      </c>
      <c r="J242" s="6" t="s">
        <v>1112</v>
      </c>
    </row>
    <row r="243" spans="1:10" ht="165" x14ac:dyDescent="0.25">
      <c r="A243" s="6" t="str">
        <f>HYPERLINK("https://grants.gov/search-results-detail/353720","DFOP0014005")</f>
        <v>DFOP0014005</v>
      </c>
      <c r="B243" s="6" t="s">
        <v>326</v>
      </c>
      <c r="C243" s="6" t="s">
        <v>84</v>
      </c>
      <c r="D243" s="6" t="s">
        <v>85</v>
      </c>
      <c r="E243" s="7">
        <v>45449</v>
      </c>
      <c r="F243" s="8">
        <v>800000</v>
      </c>
      <c r="G243" s="8">
        <v>800000</v>
      </c>
      <c r="H243" s="6">
        <v>1</v>
      </c>
      <c r="I243" s="6" t="s">
        <v>327</v>
      </c>
      <c r="J243" s="6" t="s">
        <v>328</v>
      </c>
    </row>
    <row r="244" spans="1:10" ht="165" x14ac:dyDescent="0.25">
      <c r="A244" s="6" t="str">
        <f>HYPERLINK("https://grants.gov/search-results-detail/353597","SFOP0010331")</f>
        <v>SFOP0010331</v>
      </c>
      <c r="B244" s="6" t="s">
        <v>556</v>
      </c>
      <c r="C244" s="6" t="s">
        <v>84</v>
      </c>
      <c r="D244" s="6" t="s">
        <v>85</v>
      </c>
      <c r="E244" s="7">
        <v>45449</v>
      </c>
      <c r="F244" s="8">
        <v>850000</v>
      </c>
      <c r="G244" s="8">
        <v>850000</v>
      </c>
      <c r="H244" s="6">
        <v>1</v>
      </c>
      <c r="I244" s="6" t="s">
        <v>327</v>
      </c>
      <c r="J244" s="6" t="s">
        <v>557</v>
      </c>
    </row>
    <row r="245" spans="1:10" ht="390" x14ac:dyDescent="0.25">
      <c r="A245" s="6" t="str">
        <f>HYPERLINK("https://grants.gov/search-results-detail/353873","DFOP0013969")</f>
        <v>DFOP0013969</v>
      </c>
      <c r="B245" s="6" t="s">
        <v>83</v>
      </c>
      <c r="C245" s="6" t="s">
        <v>84</v>
      </c>
      <c r="D245" s="6" t="s">
        <v>85</v>
      </c>
      <c r="E245" s="7">
        <v>45471</v>
      </c>
      <c r="F245" s="8">
        <v>1500000</v>
      </c>
      <c r="G245" s="8">
        <v>1500000</v>
      </c>
      <c r="H245" s="6">
        <v>1</v>
      </c>
      <c r="I245" s="6" t="s">
        <v>86</v>
      </c>
      <c r="J245" s="6" t="s">
        <v>87</v>
      </c>
    </row>
    <row r="246" spans="1:10" ht="409.5" x14ac:dyDescent="0.25">
      <c r="A246" s="6" t="str">
        <f>HYPERLINK("https://grants.gov/search-results-detail/353609","PAS-ALG-FY24-02")</f>
        <v>PAS-ALG-FY24-02</v>
      </c>
      <c r="B246" s="6" t="s">
        <v>502</v>
      </c>
      <c r="C246" s="6" t="s">
        <v>503</v>
      </c>
      <c r="D246" s="6" t="s">
        <v>504</v>
      </c>
      <c r="E246" s="7">
        <v>45462</v>
      </c>
      <c r="F246" s="8">
        <v>100000</v>
      </c>
      <c r="G246" s="8">
        <v>5000</v>
      </c>
      <c r="I246" s="6" t="s">
        <v>505</v>
      </c>
      <c r="J246" s="6" t="s">
        <v>506</v>
      </c>
    </row>
    <row r="247" spans="1:10" ht="409.5" x14ac:dyDescent="0.25">
      <c r="A247" s="6" t="str">
        <f>HYPERLINK("https://grants.gov/search-results-detail/353030","SFOP0010306")</f>
        <v>SFOP0010306</v>
      </c>
      <c r="B247" s="6" t="s">
        <v>1518</v>
      </c>
      <c r="C247" s="6" t="s">
        <v>99</v>
      </c>
      <c r="D247" s="6" t="s">
        <v>100</v>
      </c>
      <c r="E247" s="7">
        <v>45432</v>
      </c>
      <c r="F247" s="8">
        <v>1000000</v>
      </c>
      <c r="G247" s="8">
        <v>1000000</v>
      </c>
      <c r="H247" s="6">
        <v>1</v>
      </c>
      <c r="I247" s="6" t="s">
        <v>1513</v>
      </c>
      <c r="J247" s="6" t="s">
        <v>1519</v>
      </c>
    </row>
    <row r="248" spans="1:10" ht="409.5" x14ac:dyDescent="0.25">
      <c r="A248" s="6" t="str">
        <f>HYPERLINK("https://grants.gov/search-results-detail/353028","SFOP0010307")</f>
        <v>SFOP0010307</v>
      </c>
      <c r="B248" s="6" t="s">
        <v>1525</v>
      </c>
      <c r="C248" s="6" t="s">
        <v>99</v>
      </c>
      <c r="D248" s="6" t="s">
        <v>100</v>
      </c>
      <c r="E248" s="7">
        <v>45432</v>
      </c>
      <c r="F248" s="8">
        <v>1140000</v>
      </c>
      <c r="G248" s="8">
        <v>1140000</v>
      </c>
      <c r="H248" s="6">
        <v>1</v>
      </c>
      <c r="I248" s="6" t="s">
        <v>1516</v>
      </c>
      <c r="J248" s="6" t="s">
        <v>1526</v>
      </c>
    </row>
    <row r="249" spans="1:10" ht="409.5" x14ac:dyDescent="0.25">
      <c r="A249" s="6" t="str">
        <f>HYPERLINK("https://grants.gov/search-results-detail/353026","SFOP0010305")</f>
        <v>SFOP0010305</v>
      </c>
      <c r="B249" s="6" t="s">
        <v>1534</v>
      </c>
      <c r="C249" s="6" t="s">
        <v>99</v>
      </c>
      <c r="D249" s="6" t="s">
        <v>100</v>
      </c>
      <c r="E249" s="7">
        <v>45432</v>
      </c>
      <c r="F249" s="8">
        <v>650000</v>
      </c>
      <c r="G249" s="8">
        <v>360000</v>
      </c>
      <c r="H249" s="6">
        <v>3</v>
      </c>
      <c r="I249" s="6" t="s">
        <v>1374</v>
      </c>
      <c r="J249" s="6" t="s">
        <v>1535</v>
      </c>
    </row>
    <row r="250" spans="1:10" ht="409.5" x14ac:dyDescent="0.25">
      <c r="A250" s="6" t="str">
        <f>HYPERLINK("https://grants.gov/search-results-detail/352944","SFOP0010298")</f>
        <v>SFOP0010298</v>
      </c>
      <c r="B250" s="6" t="s">
        <v>1607</v>
      </c>
      <c r="C250" s="6" t="s">
        <v>99</v>
      </c>
      <c r="D250" s="6" t="s">
        <v>100</v>
      </c>
      <c r="E250" s="7">
        <v>45432</v>
      </c>
      <c r="F250" s="8">
        <v>1500000</v>
      </c>
      <c r="G250" s="8">
        <v>1500000</v>
      </c>
      <c r="H250" s="6">
        <v>1</v>
      </c>
      <c r="I250" s="6" t="s">
        <v>1608</v>
      </c>
      <c r="J250" s="6" t="s">
        <v>1609</v>
      </c>
    </row>
    <row r="251" spans="1:10" ht="409.5" x14ac:dyDescent="0.25">
      <c r="A251" s="6" t="str">
        <f>HYPERLINK("https://grants.gov/search-results-detail/352946","SFOP0010299")</f>
        <v>SFOP0010299</v>
      </c>
      <c r="B251" s="6" t="s">
        <v>1610</v>
      </c>
      <c r="C251" s="6" t="s">
        <v>99</v>
      </c>
      <c r="D251" s="6" t="s">
        <v>100</v>
      </c>
      <c r="E251" s="7">
        <v>45432</v>
      </c>
      <c r="F251" s="8">
        <v>6770000</v>
      </c>
      <c r="G251" s="8">
        <v>6770000</v>
      </c>
      <c r="H251" s="6">
        <v>1</v>
      </c>
      <c r="I251" s="6" t="s">
        <v>1513</v>
      </c>
      <c r="J251" s="6" t="s">
        <v>1611</v>
      </c>
    </row>
    <row r="252" spans="1:10" ht="409.5" x14ac:dyDescent="0.25">
      <c r="A252" s="6" t="str">
        <f>HYPERLINK("https://grants.gov/search-results-detail/353031","SFOP0010309")</f>
        <v>SFOP0010309</v>
      </c>
      <c r="B252" s="6" t="s">
        <v>1512</v>
      </c>
      <c r="C252" s="6" t="s">
        <v>99</v>
      </c>
      <c r="D252" s="6" t="s">
        <v>100</v>
      </c>
      <c r="E252" s="7">
        <v>45433</v>
      </c>
      <c r="F252" s="8">
        <v>6000000</v>
      </c>
      <c r="G252" s="8">
        <v>5800000</v>
      </c>
      <c r="H252" s="6">
        <v>1</v>
      </c>
      <c r="I252" s="6" t="s">
        <v>1513</v>
      </c>
      <c r="J252" s="6" t="s">
        <v>1514</v>
      </c>
    </row>
    <row r="253" spans="1:10" ht="409.5" x14ac:dyDescent="0.25">
      <c r="A253" s="6" t="str">
        <f>HYPERLINK("https://grants.gov/search-results-detail/353130","SFOP0010323")</f>
        <v>SFOP0010323</v>
      </c>
      <c r="B253" s="6" t="s">
        <v>1373</v>
      </c>
      <c r="C253" s="6" t="s">
        <v>99</v>
      </c>
      <c r="D253" s="6" t="s">
        <v>100</v>
      </c>
      <c r="E253" s="7">
        <v>45440</v>
      </c>
      <c r="F253" s="8">
        <v>26000000</v>
      </c>
      <c r="G253" s="8">
        <v>16000000</v>
      </c>
      <c r="H253" s="6">
        <v>1</v>
      </c>
      <c r="I253" s="6" t="s">
        <v>1374</v>
      </c>
      <c r="J253" s="6" t="s">
        <v>1375</v>
      </c>
    </row>
    <row r="254" spans="1:10" ht="409.5" x14ac:dyDescent="0.25">
      <c r="A254" s="6" t="str">
        <f>HYPERLINK("https://grants.gov/search-results-detail/353032","SFOP0010308")</f>
        <v>SFOP0010308</v>
      </c>
      <c r="B254" s="6" t="s">
        <v>1515</v>
      </c>
      <c r="C254" s="6" t="s">
        <v>99</v>
      </c>
      <c r="D254" s="6" t="s">
        <v>100</v>
      </c>
      <c r="E254" s="7">
        <v>45441</v>
      </c>
      <c r="F254" s="8">
        <v>702000</v>
      </c>
      <c r="G254" s="8">
        <v>702000</v>
      </c>
      <c r="H254" s="6">
        <v>1</v>
      </c>
      <c r="I254" s="6" t="s">
        <v>1516</v>
      </c>
      <c r="J254" s="6" t="s">
        <v>1517</v>
      </c>
    </row>
    <row r="255" spans="1:10" ht="409.5" x14ac:dyDescent="0.25">
      <c r="A255" s="6" t="str">
        <f>HYPERLINK("https://grants.gov/search-results-detail/353291","SFOP0010328")</f>
        <v>SFOP0010328</v>
      </c>
      <c r="B255" s="6" t="s">
        <v>1100</v>
      </c>
      <c r="C255" s="6" t="s">
        <v>99</v>
      </c>
      <c r="D255" s="6" t="s">
        <v>100</v>
      </c>
      <c r="E255" s="7">
        <v>45446</v>
      </c>
      <c r="F255" s="8">
        <v>8990000</v>
      </c>
      <c r="G255" s="8">
        <v>8990000</v>
      </c>
      <c r="H255" s="6">
        <v>1</v>
      </c>
      <c r="I255" s="6" t="s">
        <v>1101</v>
      </c>
      <c r="J255" s="6" t="s">
        <v>1102</v>
      </c>
    </row>
    <row r="256" spans="1:10" ht="180" x14ac:dyDescent="0.25">
      <c r="A256" s="6" t="str">
        <f>HYPERLINK("https://grants.gov/search-results-detail/352268","UCHRI-CFN-001")</f>
        <v>UCHRI-CFN-001</v>
      </c>
      <c r="B256" s="6" t="s">
        <v>98</v>
      </c>
      <c r="C256" s="6" t="s">
        <v>99</v>
      </c>
      <c r="D256" s="6" t="s">
        <v>100</v>
      </c>
      <c r="E256" s="7">
        <v>45504</v>
      </c>
      <c r="F256" s="8">
        <v>500000</v>
      </c>
      <c r="G256" s="8">
        <v>50000</v>
      </c>
      <c r="H256" s="6">
        <v>5</v>
      </c>
      <c r="I256" s="6" t="s">
        <v>101</v>
      </c>
      <c r="J256" s="6" t="s">
        <v>102</v>
      </c>
    </row>
    <row r="257" spans="1:10" ht="180" x14ac:dyDescent="0.25">
      <c r="A257" s="6" t="str">
        <f>HYPERLINK("https://grants.gov/search-results-detail/350882","UCHRI-RBC-001")</f>
        <v>UCHRI-RBC-001</v>
      </c>
      <c r="B257" s="6" t="s">
        <v>2132</v>
      </c>
      <c r="C257" s="6" t="s">
        <v>99</v>
      </c>
      <c r="D257" s="6" t="s">
        <v>100</v>
      </c>
      <c r="F257" s="8">
        <v>1000000</v>
      </c>
      <c r="G257" s="8">
        <v>50000</v>
      </c>
      <c r="H257" s="6">
        <v>15</v>
      </c>
      <c r="I257" s="6" t="s">
        <v>2133</v>
      </c>
      <c r="J257" s="6" t="s">
        <v>2134</v>
      </c>
    </row>
    <row r="258" spans="1:10" ht="409.5" x14ac:dyDescent="0.25">
      <c r="A258" s="6" t="str">
        <f>HYPERLINK("https://grants.gov/search-results-detail/346532","AFCP-UR-2023")</f>
        <v>AFCP-UR-2023</v>
      </c>
      <c r="B258" s="6" t="s">
        <v>2388</v>
      </c>
      <c r="C258" s="6" t="s">
        <v>99</v>
      </c>
      <c r="D258" s="6" t="s">
        <v>100</v>
      </c>
      <c r="F258" s="8">
        <v>500000</v>
      </c>
      <c r="G258" s="8">
        <v>50000</v>
      </c>
      <c r="H258" s="6">
        <v>20</v>
      </c>
      <c r="I258" s="6" t="s">
        <v>101</v>
      </c>
      <c r="J258" s="6" t="s">
        <v>2389</v>
      </c>
    </row>
    <row r="259" spans="1:10" ht="409.5" x14ac:dyDescent="0.25">
      <c r="A259" s="6" t="str">
        <f>HYPERLINK("https://grants.gov/search-results-detail/336244","ESP22APS")</f>
        <v>ESP22APS</v>
      </c>
      <c r="B259" s="6" t="s">
        <v>2584</v>
      </c>
      <c r="C259" s="6" t="s">
        <v>2585</v>
      </c>
      <c r="D259" s="6" t="s">
        <v>2586</v>
      </c>
      <c r="F259" s="8">
        <v>75000</v>
      </c>
      <c r="G259" s="8">
        <v>25000</v>
      </c>
      <c r="I259" s="6" t="s">
        <v>2587</v>
      </c>
      <c r="J259" s="6" t="s">
        <v>2588</v>
      </c>
    </row>
    <row r="260" spans="1:10" ht="330" x14ac:dyDescent="0.25">
      <c r="A260" s="6" t="str">
        <f>HYPERLINK("https://grants.gov/search-results-detail/353389","TR-NOFO-FY24-02")</f>
        <v>TR-NOFO-FY24-02</v>
      </c>
      <c r="B260" s="6" t="s">
        <v>907</v>
      </c>
      <c r="C260" s="6" t="s">
        <v>908</v>
      </c>
      <c r="D260" s="6" t="s">
        <v>909</v>
      </c>
      <c r="E260" s="7">
        <v>45450</v>
      </c>
      <c r="F260" s="8">
        <v>100000</v>
      </c>
      <c r="G260" s="8">
        <v>1</v>
      </c>
      <c r="I260" s="6" t="s">
        <v>910</v>
      </c>
      <c r="J260" s="6" t="s">
        <v>911</v>
      </c>
    </row>
    <row r="261" spans="1:10" ht="409.5" x14ac:dyDescent="0.25">
      <c r="A261" s="6" t="str">
        <f>HYPERLINK("https://grants.gov/search-results-detail/350546","PDS-FI-FY24-01")</f>
        <v>PDS-FI-FY24-01</v>
      </c>
      <c r="B261" s="6" t="s">
        <v>2161</v>
      </c>
      <c r="C261" s="6" t="s">
        <v>2162</v>
      </c>
      <c r="D261" s="6" t="s">
        <v>2163</v>
      </c>
      <c r="E261" s="7">
        <v>45504</v>
      </c>
      <c r="F261" s="8">
        <v>50000</v>
      </c>
      <c r="G261" s="8">
        <v>5000</v>
      </c>
      <c r="H261" s="6">
        <v>10</v>
      </c>
      <c r="I261" s="6" t="s">
        <v>2164</v>
      </c>
      <c r="J261" s="6" t="s">
        <v>2165</v>
      </c>
    </row>
    <row r="262" spans="1:10" ht="409.5" x14ac:dyDescent="0.25">
      <c r="A262" s="6" t="str">
        <f>HYPERLINK("https://grants.gov/search-results-detail/346716","DOS-PDS-LIBREVILLE-FY23-01")</f>
        <v>DOS-PDS-LIBREVILLE-FY23-01</v>
      </c>
      <c r="B262" s="6" t="s">
        <v>2381</v>
      </c>
      <c r="C262" s="6" t="s">
        <v>2382</v>
      </c>
      <c r="D262" s="6" t="s">
        <v>2383</v>
      </c>
      <c r="F262" s="8">
        <v>12500</v>
      </c>
      <c r="G262" s="8">
        <v>5000</v>
      </c>
      <c r="H262" s="6">
        <v>3</v>
      </c>
      <c r="I262" s="6" t="s">
        <v>2384</v>
      </c>
      <c r="J262" s="6" t="s">
        <v>2385</v>
      </c>
    </row>
    <row r="263" spans="1:10" ht="409.5" x14ac:dyDescent="0.25">
      <c r="A263" s="6" t="str">
        <f>HYPERLINK("https://grants.gov/search-results-detail/351874","DOS-LONDON-PD-2024-01")</f>
        <v>DOS-LONDON-PD-2024-01</v>
      </c>
      <c r="B263" s="6" t="s">
        <v>1974</v>
      </c>
      <c r="C263" s="6" t="s">
        <v>1975</v>
      </c>
      <c r="D263" s="6" t="s">
        <v>1976</v>
      </c>
      <c r="E263" s="7">
        <v>45517</v>
      </c>
      <c r="F263" s="8">
        <v>100000</v>
      </c>
      <c r="G263" s="8">
        <v>10000</v>
      </c>
      <c r="H263" s="6">
        <v>30</v>
      </c>
      <c r="I263" s="6" t="s">
        <v>1977</v>
      </c>
      <c r="J263" s="6" t="s">
        <v>1978</v>
      </c>
    </row>
    <row r="264" spans="1:10" ht="409.5" x14ac:dyDescent="0.25">
      <c r="A264" s="6" t="str">
        <f>HYPERLINK("https://grants.gov/search-results-detail/351793","PDS-DOS-GEO-FY24-003")</f>
        <v>PDS-DOS-GEO-FY24-003</v>
      </c>
      <c r="B264" s="6" t="s">
        <v>1990</v>
      </c>
      <c r="C264" s="6" t="s">
        <v>11</v>
      </c>
      <c r="D264" s="6" t="s">
        <v>12</v>
      </c>
      <c r="E264" s="7">
        <v>45427</v>
      </c>
      <c r="F264" s="8">
        <v>10000</v>
      </c>
      <c r="G264" s="8">
        <v>0</v>
      </c>
      <c r="H264" s="6">
        <v>15</v>
      </c>
      <c r="I264" s="6" t="s">
        <v>1991</v>
      </c>
      <c r="J264" s="6" t="s">
        <v>1992</v>
      </c>
    </row>
    <row r="265" spans="1:10" ht="409.5" x14ac:dyDescent="0.25">
      <c r="A265" s="6" t="str">
        <f>HYPERLINK("https://grants.gov/search-results-detail/353283","PDS-DOS-GEO-FY24-005")</f>
        <v>PDS-DOS-GEO-FY24-005</v>
      </c>
      <c r="B265" s="6" t="s">
        <v>1119</v>
      </c>
      <c r="C265" s="6" t="s">
        <v>11</v>
      </c>
      <c r="D265" s="6" t="s">
        <v>12</v>
      </c>
      <c r="E265" s="7">
        <v>45443</v>
      </c>
      <c r="F265" s="8">
        <v>50000</v>
      </c>
      <c r="G265" s="8" t="s">
        <v>18</v>
      </c>
      <c r="I265" s="6" t="s">
        <v>1120</v>
      </c>
      <c r="J265" s="6" t="s">
        <v>1121</v>
      </c>
    </row>
    <row r="266" spans="1:10" ht="409.5" x14ac:dyDescent="0.25">
      <c r="A266" s="6" t="str">
        <f>HYPERLINK("https://grants.gov/search-results-detail/353887","DOS-GEO-24-003-04302024")</f>
        <v>DOS-GEO-24-003-04302024</v>
      </c>
      <c r="B266" s="6" t="s">
        <v>10</v>
      </c>
      <c r="C266" s="6" t="s">
        <v>11</v>
      </c>
      <c r="D266" s="6" t="s">
        <v>12</v>
      </c>
      <c r="E266" s="7">
        <v>45474</v>
      </c>
      <c r="F266" s="8">
        <v>100000</v>
      </c>
      <c r="G266" s="8">
        <v>50000</v>
      </c>
      <c r="H266" s="6">
        <v>2</v>
      </c>
      <c r="I266" s="6" t="s">
        <v>13</v>
      </c>
      <c r="J266" s="6" t="s">
        <v>14</v>
      </c>
    </row>
    <row r="267" spans="1:10" ht="409.5" x14ac:dyDescent="0.25">
      <c r="A267" s="6" t="str">
        <f>HYPERLINK("https://grants.gov/search-results-detail/353281","PDS-DOS-GEO-FY24-001")</f>
        <v>PDS-DOS-GEO-FY24-001</v>
      </c>
      <c r="B267" s="6" t="s">
        <v>1116</v>
      </c>
      <c r="C267" s="6" t="s">
        <v>11</v>
      </c>
      <c r="D267" s="6" t="s">
        <v>12</v>
      </c>
      <c r="F267" s="8">
        <v>24000</v>
      </c>
      <c r="G267" s="8">
        <v>5000</v>
      </c>
      <c r="H267" s="6">
        <v>15</v>
      </c>
      <c r="I267" s="6" t="s">
        <v>1117</v>
      </c>
      <c r="J267" s="6" t="s">
        <v>1118</v>
      </c>
    </row>
    <row r="268" spans="1:10" ht="409.5" x14ac:dyDescent="0.25">
      <c r="A268" s="6" t="str">
        <f>HYPERLINK("https://grants.gov/search-results-detail/353232","PAS-CONAKRY-FY24-03")</f>
        <v>PAS-CONAKRY-FY24-03</v>
      </c>
      <c r="B268" s="6" t="s">
        <v>1188</v>
      </c>
      <c r="C268" s="6" t="s">
        <v>1189</v>
      </c>
      <c r="D268" s="6" t="s">
        <v>1190</v>
      </c>
      <c r="E268" s="7">
        <v>45443</v>
      </c>
      <c r="F268" s="8">
        <v>100000</v>
      </c>
      <c r="G268" s="8">
        <v>20000</v>
      </c>
      <c r="H268" s="6">
        <v>5</v>
      </c>
      <c r="I268" s="6" t="s">
        <v>1191</v>
      </c>
      <c r="J268" s="6" t="s">
        <v>1192</v>
      </c>
    </row>
    <row r="269" spans="1:10" ht="409.5" x14ac:dyDescent="0.25">
      <c r="A269" s="6" t="str">
        <f>HYPERLINK("https://grants.gov/search-results-detail/352384","PD-CONAKRY-FY24-01")</f>
        <v>PD-CONAKRY-FY24-01</v>
      </c>
      <c r="B269" s="6" t="s">
        <v>1873</v>
      </c>
      <c r="C269" s="6" t="s">
        <v>1189</v>
      </c>
      <c r="D269" s="6" t="s">
        <v>1190</v>
      </c>
      <c r="E269" s="7">
        <v>45443</v>
      </c>
      <c r="F269" s="8">
        <v>22000</v>
      </c>
      <c r="G269" s="8">
        <v>5000</v>
      </c>
      <c r="I269" s="6" t="s">
        <v>1874</v>
      </c>
      <c r="J269" s="6" t="s">
        <v>1875</v>
      </c>
    </row>
    <row r="270" spans="1:10" ht="300" x14ac:dyDescent="0.25">
      <c r="A270" s="6" t="str">
        <f>HYPERLINK("https://grants.gov/search-results-detail/353007","DFOP0009157")</f>
        <v>DFOP0009157</v>
      </c>
      <c r="B270" s="6" t="s">
        <v>1576</v>
      </c>
      <c r="C270" s="6" t="s">
        <v>1577</v>
      </c>
      <c r="D270" s="6" t="s">
        <v>1578</v>
      </c>
      <c r="E270" s="7">
        <v>45428</v>
      </c>
      <c r="F270" s="8">
        <v>10500000</v>
      </c>
      <c r="G270" s="8">
        <v>1000000</v>
      </c>
      <c r="H270" s="6">
        <v>0</v>
      </c>
      <c r="I270" s="6" t="s">
        <v>1579</v>
      </c>
      <c r="J270" s="6" t="s">
        <v>1580</v>
      </c>
    </row>
    <row r="271" spans="1:10" ht="409.5" x14ac:dyDescent="0.25">
      <c r="A271" s="6" t="str">
        <f>HYPERLINK("https://grants.gov/search-results-detail/353064","OFOP0001329")</f>
        <v>OFOP0001329</v>
      </c>
      <c r="B271" s="6" t="s">
        <v>1412</v>
      </c>
      <c r="C271" s="6" t="s">
        <v>1481</v>
      </c>
      <c r="D271" s="6" t="s">
        <v>1482</v>
      </c>
      <c r="E271" s="7">
        <v>45429</v>
      </c>
      <c r="F271" s="8">
        <v>800000</v>
      </c>
      <c r="G271" s="8">
        <v>780000</v>
      </c>
      <c r="H271" s="6">
        <v>0</v>
      </c>
      <c r="I271" s="6" t="s">
        <v>1483</v>
      </c>
      <c r="J271" s="6" t="s">
        <v>1484</v>
      </c>
    </row>
    <row r="272" spans="1:10" ht="330" x14ac:dyDescent="0.25">
      <c r="A272" s="6" t="str">
        <f>HYPERLINK("https://grants.gov/search-results-detail/351163","PAS-JAKARTA-FY24-01")</f>
        <v>PAS-JAKARTA-FY24-01</v>
      </c>
      <c r="B272" s="6" t="s">
        <v>2093</v>
      </c>
      <c r="C272" s="6" t="s">
        <v>2094</v>
      </c>
      <c r="D272" s="6" t="s">
        <v>2095</v>
      </c>
      <c r="E272" s="7">
        <v>45473</v>
      </c>
      <c r="F272" s="8">
        <v>100000</v>
      </c>
      <c r="G272" s="8">
        <v>30000</v>
      </c>
      <c r="I272" s="6" t="s">
        <v>2096</v>
      </c>
      <c r="J272" s="6" t="s">
        <v>2097</v>
      </c>
    </row>
    <row r="273" spans="1:10" ht="409.5" x14ac:dyDescent="0.25">
      <c r="A273" s="6" t="str">
        <f>HYPERLINK("https://grants.gov/search-results-detail/352995","ND-NOFO-24-103")</f>
        <v>ND-NOFO-24-103</v>
      </c>
      <c r="B273" s="6" t="s">
        <v>1584</v>
      </c>
      <c r="C273" s="6" t="s">
        <v>375</v>
      </c>
      <c r="D273" s="6" t="s">
        <v>376</v>
      </c>
      <c r="E273" s="7">
        <v>45429</v>
      </c>
      <c r="F273" s="8">
        <v>150000</v>
      </c>
      <c r="G273" s="8">
        <v>125000</v>
      </c>
      <c r="H273" s="6">
        <v>1</v>
      </c>
      <c r="I273" s="6" t="s">
        <v>1585</v>
      </c>
      <c r="J273" s="6" t="s">
        <v>1586</v>
      </c>
    </row>
    <row r="274" spans="1:10" ht="409.5" x14ac:dyDescent="0.25">
      <c r="A274" s="6" t="str">
        <f>HYPERLINK("https://grants.gov/search-results-detail/353627","H-NOFO-24-101")</f>
        <v>H-NOFO-24-101</v>
      </c>
      <c r="B274" s="6" t="s">
        <v>374</v>
      </c>
      <c r="C274" s="6" t="s">
        <v>375</v>
      </c>
      <c r="D274" s="6" t="s">
        <v>376</v>
      </c>
      <c r="E274" s="7">
        <v>45434</v>
      </c>
      <c r="F274" s="8">
        <v>33242</v>
      </c>
      <c r="G274" s="8">
        <v>33000</v>
      </c>
      <c r="H274" s="6">
        <v>1</v>
      </c>
      <c r="I274" s="6" t="s">
        <v>377</v>
      </c>
      <c r="J274" s="6" t="s">
        <v>378</v>
      </c>
    </row>
    <row r="275" spans="1:10" ht="270" x14ac:dyDescent="0.25">
      <c r="A275" s="6" t="str">
        <f>HYPERLINK("https://grants.gov/search-results-detail/353327","ND-NOFO-24-105")</f>
        <v>ND-NOFO-24-105</v>
      </c>
      <c r="B275" s="6" t="s">
        <v>1023</v>
      </c>
      <c r="C275" s="6" t="s">
        <v>375</v>
      </c>
      <c r="D275" s="6" t="s">
        <v>376</v>
      </c>
      <c r="E275" s="7">
        <v>45446</v>
      </c>
      <c r="F275" s="8">
        <v>200000</v>
      </c>
      <c r="G275" s="8">
        <v>150000</v>
      </c>
      <c r="H275" s="6">
        <v>1</v>
      </c>
      <c r="I275" s="6" t="s">
        <v>1024</v>
      </c>
      <c r="J275" s="6" t="s">
        <v>1025</v>
      </c>
    </row>
    <row r="276" spans="1:10" ht="409.5" x14ac:dyDescent="0.25">
      <c r="A276" s="6" t="str">
        <f>HYPERLINK("https://grants.gov/search-results-detail/353326","ND-NOFO-24-104")</f>
        <v>ND-NOFO-24-104</v>
      </c>
      <c r="B276" s="6" t="s">
        <v>1026</v>
      </c>
      <c r="C276" s="6" t="s">
        <v>375</v>
      </c>
      <c r="D276" s="6" t="s">
        <v>376</v>
      </c>
      <c r="E276" s="7">
        <v>45446</v>
      </c>
      <c r="F276" s="8">
        <v>100000</v>
      </c>
      <c r="G276" s="8">
        <v>75000</v>
      </c>
      <c r="H276" s="6">
        <v>1</v>
      </c>
      <c r="I276" s="6" t="s">
        <v>1027</v>
      </c>
      <c r="J276" s="6" t="s">
        <v>1028</v>
      </c>
    </row>
    <row r="277" spans="1:10" ht="409.5" x14ac:dyDescent="0.25">
      <c r="A277" s="6" t="str">
        <f>HYPERLINK("https://grants.gov/search-results-detail/353437","ND-NOFO-24-106")</f>
        <v>ND-NOFO-24-106</v>
      </c>
      <c r="B277" s="6" t="s">
        <v>823</v>
      </c>
      <c r="C277" s="6" t="s">
        <v>375</v>
      </c>
      <c r="D277" s="6" t="s">
        <v>376</v>
      </c>
      <c r="E277" s="7">
        <v>45450</v>
      </c>
      <c r="F277" s="8">
        <v>150000</v>
      </c>
      <c r="G277" s="8">
        <v>120000</v>
      </c>
      <c r="H277" s="6">
        <v>1</v>
      </c>
      <c r="I277" s="6" t="s">
        <v>824</v>
      </c>
      <c r="J277" s="6" t="s">
        <v>825</v>
      </c>
    </row>
    <row r="278" spans="1:10" ht="225" x14ac:dyDescent="0.25">
      <c r="A278" s="6" t="str">
        <f>HYPERLINK("https://grants.gov/search-results-detail/353118","OFOP0001331")</f>
        <v>OFOP0001331</v>
      </c>
      <c r="B278" s="6" t="s">
        <v>1384</v>
      </c>
      <c r="C278" s="6" t="s">
        <v>37</v>
      </c>
      <c r="D278" s="6" t="s">
        <v>38</v>
      </c>
      <c r="E278" s="7">
        <v>45433</v>
      </c>
      <c r="F278" s="8">
        <v>4724000</v>
      </c>
      <c r="G278" s="8">
        <v>2000000</v>
      </c>
      <c r="H278" s="6">
        <v>1</v>
      </c>
      <c r="I278" s="6" t="s">
        <v>1385</v>
      </c>
      <c r="J278" s="6" t="s">
        <v>1386</v>
      </c>
    </row>
    <row r="279" spans="1:10" ht="409.5" x14ac:dyDescent="0.25">
      <c r="A279" s="6" t="str">
        <f>HYPERLINK("https://grants.gov/search-results-detail/353120","OFOP0001332")</f>
        <v>OFOP0001332</v>
      </c>
      <c r="B279" s="6" t="s">
        <v>1412</v>
      </c>
      <c r="C279" s="6" t="s">
        <v>37</v>
      </c>
      <c r="D279" s="6" t="s">
        <v>38</v>
      </c>
      <c r="E279" s="7">
        <v>45434</v>
      </c>
      <c r="F279" s="8">
        <v>800000</v>
      </c>
      <c r="G279" s="8">
        <v>780000</v>
      </c>
      <c r="H279" s="6">
        <v>1</v>
      </c>
      <c r="I279" s="6" t="s">
        <v>1413</v>
      </c>
      <c r="J279" s="6" t="s">
        <v>1414</v>
      </c>
    </row>
    <row r="280" spans="1:10" ht="150" x14ac:dyDescent="0.25">
      <c r="A280" s="6" t="str">
        <f>HYPERLINK("https://grants.gov/search-results-detail/353294","DFOP0010791")</f>
        <v>DFOP0010791</v>
      </c>
      <c r="B280" s="6" t="s">
        <v>1108</v>
      </c>
      <c r="C280" s="6" t="s">
        <v>37</v>
      </c>
      <c r="D280" s="6" t="s">
        <v>38</v>
      </c>
      <c r="E280" s="7">
        <v>45441</v>
      </c>
      <c r="F280" s="8">
        <v>1250000</v>
      </c>
      <c r="G280" s="8">
        <v>1250000</v>
      </c>
      <c r="H280" s="6">
        <v>1</v>
      </c>
      <c r="I280" s="6" t="s">
        <v>1109</v>
      </c>
      <c r="J280" s="6" t="s">
        <v>1110</v>
      </c>
    </row>
    <row r="281" spans="1:10" ht="165" x14ac:dyDescent="0.25">
      <c r="A281" s="6" t="str">
        <f>HYPERLINK("https://grants.gov/search-results-detail/353424","DFOP0013448")</f>
        <v>DFOP0013448</v>
      </c>
      <c r="B281" s="6" t="s">
        <v>875</v>
      </c>
      <c r="C281" s="6" t="s">
        <v>37</v>
      </c>
      <c r="D281" s="6" t="s">
        <v>38</v>
      </c>
      <c r="E281" s="7">
        <v>45447</v>
      </c>
      <c r="F281" s="8">
        <v>600000</v>
      </c>
      <c r="G281" s="8">
        <v>400000</v>
      </c>
      <c r="H281" s="6">
        <v>1</v>
      </c>
      <c r="I281" s="6" t="s">
        <v>876</v>
      </c>
      <c r="J281" s="6" t="s">
        <v>877</v>
      </c>
    </row>
    <row r="282" spans="1:10" ht="195" x14ac:dyDescent="0.25">
      <c r="A282" s="6" t="str">
        <f>HYPERLINK("https://grants.gov/search-results-detail/353439","OFOP0001345")</f>
        <v>OFOP0001345</v>
      </c>
      <c r="B282" s="6" t="s">
        <v>826</v>
      </c>
      <c r="C282" s="6" t="s">
        <v>37</v>
      </c>
      <c r="D282" s="6" t="s">
        <v>38</v>
      </c>
      <c r="E282" s="7">
        <v>45450</v>
      </c>
      <c r="F282" s="8">
        <v>600000</v>
      </c>
      <c r="G282" s="8">
        <v>400000</v>
      </c>
      <c r="H282" s="6">
        <v>1</v>
      </c>
      <c r="I282" s="6" t="s">
        <v>827</v>
      </c>
      <c r="J282" s="6" t="s">
        <v>828</v>
      </c>
    </row>
    <row r="283" spans="1:10" ht="409.5" x14ac:dyDescent="0.25">
      <c r="A283" s="6" t="str">
        <f>HYPERLINK("https://grants.gov/search-results-detail/353727","INL24CA0056-AMEMOROC-ALTINCAR-04232024")</f>
        <v>INL24CA0056-AMEMOROC-ALTINCAR-04232024</v>
      </c>
      <c r="B283" s="6" t="s">
        <v>346</v>
      </c>
      <c r="C283" s="6" t="s">
        <v>37</v>
      </c>
      <c r="D283" s="6" t="s">
        <v>38</v>
      </c>
      <c r="E283" s="7">
        <v>45468</v>
      </c>
      <c r="F283" s="8">
        <v>1500000</v>
      </c>
      <c r="G283" s="8">
        <v>1250000</v>
      </c>
      <c r="H283" s="6">
        <v>1</v>
      </c>
      <c r="I283" s="6" t="s">
        <v>347</v>
      </c>
      <c r="J283" s="6" t="s">
        <v>348</v>
      </c>
    </row>
    <row r="284" spans="1:10" ht="409.5" x14ac:dyDescent="0.25">
      <c r="A284" s="6" t="str">
        <f>HYPERLINK("https://grants.gov/search-results-detail/353741","INL24CA0059-AMENIGERIA-EXPLOSIVESMGMT-04")</f>
        <v>INL24CA0059-AMENIGERIA-EXPLOSIVESMGMT-04</v>
      </c>
      <c r="B284" s="6" t="s">
        <v>349</v>
      </c>
      <c r="C284" s="6" t="s">
        <v>37</v>
      </c>
      <c r="D284" s="6" t="s">
        <v>38</v>
      </c>
      <c r="E284" s="7">
        <v>45468</v>
      </c>
      <c r="F284" s="8">
        <v>400000</v>
      </c>
      <c r="G284" s="8">
        <v>300000</v>
      </c>
      <c r="H284" s="6">
        <v>1</v>
      </c>
      <c r="I284" s="6" t="s">
        <v>350</v>
      </c>
      <c r="J284" s="6" t="s">
        <v>351</v>
      </c>
    </row>
    <row r="285" spans="1:10" ht="165" x14ac:dyDescent="0.25">
      <c r="A285" s="6" t="str">
        <f>HYPERLINK("https://grants.gov/search-results-detail/353874","OFOP0001374")</f>
        <v>OFOP0001374</v>
      </c>
      <c r="B285" s="6" t="s">
        <v>64</v>
      </c>
      <c r="C285" s="6" t="s">
        <v>37</v>
      </c>
      <c r="D285" s="6" t="s">
        <v>38</v>
      </c>
      <c r="E285" s="7">
        <v>45474</v>
      </c>
      <c r="F285" s="8">
        <v>250000</v>
      </c>
      <c r="G285" s="8">
        <v>150000</v>
      </c>
      <c r="H285" s="6">
        <v>1</v>
      </c>
      <c r="I285" s="6" t="s">
        <v>65</v>
      </c>
      <c r="J285" s="6" t="s">
        <v>66</v>
      </c>
    </row>
    <row r="286" spans="1:10" ht="165" x14ac:dyDescent="0.25">
      <c r="A286" s="6" t="str">
        <f>HYPERLINK("https://grants.gov/search-results-detail/353894","OFOP0001372")</f>
        <v>OFOP0001372</v>
      </c>
      <c r="B286" s="6" t="s">
        <v>36</v>
      </c>
      <c r="C286" s="6" t="s">
        <v>37</v>
      </c>
      <c r="D286" s="6" t="s">
        <v>38</v>
      </c>
      <c r="E286" s="7">
        <v>45488</v>
      </c>
      <c r="F286" s="8">
        <v>600000</v>
      </c>
      <c r="G286" s="8">
        <v>450000</v>
      </c>
      <c r="H286" s="6">
        <v>1</v>
      </c>
      <c r="I286" s="6" t="s">
        <v>39</v>
      </c>
      <c r="J286" s="6" t="s">
        <v>40</v>
      </c>
    </row>
    <row r="287" spans="1:10" ht="180" x14ac:dyDescent="0.25">
      <c r="A287" s="6" t="str">
        <f>HYPERLINK("https://grants.gov/search-results-detail/353213","DFOP0010777")</f>
        <v>DFOP0010777</v>
      </c>
      <c r="B287" s="6" t="s">
        <v>1265</v>
      </c>
      <c r="C287" s="6" t="s">
        <v>446</v>
      </c>
      <c r="D287" s="6" t="s">
        <v>447</v>
      </c>
      <c r="E287" s="7">
        <v>45440</v>
      </c>
      <c r="F287" s="8">
        <v>1602372</v>
      </c>
      <c r="G287" s="8">
        <v>1602372</v>
      </c>
      <c r="H287" s="6">
        <v>10</v>
      </c>
      <c r="I287" s="6" t="s">
        <v>448</v>
      </c>
      <c r="J287" s="6" t="s">
        <v>1266</v>
      </c>
    </row>
    <row r="288" spans="1:10" ht="240" x14ac:dyDescent="0.25">
      <c r="A288" s="6" t="str">
        <f>HYPERLINK("https://grants.gov/search-results-detail/353203","DFOP0010768")</f>
        <v>DFOP0010768</v>
      </c>
      <c r="B288" s="6" t="s">
        <v>1267</v>
      </c>
      <c r="C288" s="6" t="s">
        <v>446</v>
      </c>
      <c r="D288" s="6" t="s">
        <v>447</v>
      </c>
      <c r="E288" s="7">
        <v>45440</v>
      </c>
      <c r="F288" s="8">
        <v>641225</v>
      </c>
      <c r="G288" s="8">
        <v>443925</v>
      </c>
      <c r="H288" s="6">
        <v>1</v>
      </c>
      <c r="I288" s="6" t="s">
        <v>448</v>
      </c>
      <c r="J288" s="6" t="s">
        <v>562</v>
      </c>
    </row>
    <row r="289" spans="1:10" ht="240" x14ac:dyDescent="0.25">
      <c r="A289" s="6" t="str">
        <f>HYPERLINK("https://grants.gov/search-results-detail/353286","DFOP0010779")</f>
        <v>DFOP0010779</v>
      </c>
      <c r="B289" s="6" t="s">
        <v>1125</v>
      </c>
      <c r="C289" s="6" t="s">
        <v>446</v>
      </c>
      <c r="D289" s="6" t="s">
        <v>447</v>
      </c>
      <c r="E289" s="7">
        <v>45441</v>
      </c>
      <c r="F289" s="8">
        <v>789344</v>
      </c>
      <c r="G289" s="8">
        <v>789344</v>
      </c>
      <c r="H289" s="6">
        <v>1</v>
      </c>
      <c r="I289" s="6" t="s">
        <v>448</v>
      </c>
      <c r="J289" s="6" t="s">
        <v>562</v>
      </c>
    </row>
    <row r="290" spans="1:10" ht="150" x14ac:dyDescent="0.25">
      <c r="A290" s="6" t="str">
        <f>HYPERLINK("https://grants.gov/search-results-detail/353381","DFOP0013441")</f>
        <v>DFOP0013441</v>
      </c>
      <c r="B290" s="6" t="s">
        <v>999</v>
      </c>
      <c r="C290" s="6" t="s">
        <v>446</v>
      </c>
      <c r="D290" s="6" t="s">
        <v>447</v>
      </c>
      <c r="E290" s="7">
        <v>45450</v>
      </c>
      <c r="F290" s="8">
        <v>2600000</v>
      </c>
      <c r="G290" s="8">
        <v>800000</v>
      </c>
      <c r="H290" s="6">
        <v>3</v>
      </c>
      <c r="I290" s="6" t="s">
        <v>448</v>
      </c>
      <c r="J290" s="6" t="s">
        <v>1000</v>
      </c>
    </row>
    <row r="291" spans="1:10" ht="210" x14ac:dyDescent="0.25">
      <c r="A291" s="6" t="str">
        <f>HYPERLINK("https://grants.gov/search-results-detail/353648","DFOP0014001")</f>
        <v>DFOP0014001</v>
      </c>
      <c r="B291" s="6" t="s">
        <v>445</v>
      </c>
      <c r="C291" s="6" t="s">
        <v>446</v>
      </c>
      <c r="D291" s="6" t="s">
        <v>447</v>
      </c>
      <c r="E291" s="7">
        <v>45464</v>
      </c>
      <c r="F291" s="8">
        <v>256537</v>
      </c>
      <c r="G291" s="8">
        <v>98668</v>
      </c>
      <c r="H291" s="6">
        <v>1</v>
      </c>
      <c r="I291" s="6" t="s">
        <v>448</v>
      </c>
      <c r="J291" s="6" t="s">
        <v>449</v>
      </c>
    </row>
    <row r="292" spans="1:10" ht="240" x14ac:dyDescent="0.25">
      <c r="A292" s="6" t="str">
        <f>HYPERLINK("https://grants.gov/search-results-detail/353579","DFOP0013980")</f>
        <v>DFOP0013980</v>
      </c>
      <c r="B292" s="6" t="s">
        <v>561</v>
      </c>
      <c r="C292" s="6" t="s">
        <v>446</v>
      </c>
      <c r="D292" s="6" t="s">
        <v>447</v>
      </c>
      <c r="E292" s="7">
        <v>45464</v>
      </c>
      <c r="F292" s="8">
        <v>987654</v>
      </c>
      <c r="G292" s="8">
        <v>790123</v>
      </c>
      <c r="H292" s="6">
        <v>1</v>
      </c>
      <c r="I292" s="6" t="s">
        <v>448</v>
      </c>
      <c r="J292" s="6" t="s">
        <v>562</v>
      </c>
    </row>
    <row r="293" spans="1:10" ht="180" x14ac:dyDescent="0.25">
      <c r="A293" s="6" t="str">
        <f>HYPERLINK("https://grants.gov/search-results-detail/353568","DFOP0013975")</f>
        <v>DFOP0013975</v>
      </c>
      <c r="B293" s="6" t="s">
        <v>600</v>
      </c>
      <c r="C293" s="6" t="s">
        <v>446</v>
      </c>
      <c r="D293" s="6" t="s">
        <v>447</v>
      </c>
      <c r="E293" s="7">
        <v>45464</v>
      </c>
      <c r="F293" s="8">
        <v>493339</v>
      </c>
      <c r="G293" s="8">
        <v>493339</v>
      </c>
      <c r="H293" s="6">
        <v>1</v>
      </c>
      <c r="I293" s="6" t="s">
        <v>448</v>
      </c>
      <c r="J293" s="6" t="s">
        <v>601</v>
      </c>
    </row>
    <row r="294" spans="1:10" ht="409.5" x14ac:dyDescent="0.25">
      <c r="A294" s="6" t="str">
        <f>HYPERLINK("https://grants.gov/search-results-detail/331306","ROMENOFO002DOSEUR")</f>
        <v>ROMENOFO002DOSEUR</v>
      </c>
      <c r="B294" s="6" t="s">
        <v>2696</v>
      </c>
      <c r="C294" s="6" t="s">
        <v>2697</v>
      </c>
      <c r="D294" s="6" t="s">
        <v>2698</v>
      </c>
      <c r="F294" s="8">
        <v>100000</v>
      </c>
      <c r="G294" s="8">
        <v>10000</v>
      </c>
      <c r="I294" s="6" t="s">
        <v>2699</v>
      </c>
      <c r="J294" s="6" t="s">
        <v>2700</v>
      </c>
    </row>
    <row r="295" spans="1:10" ht="165" x14ac:dyDescent="0.25">
      <c r="A295" s="6" t="str">
        <f>HYPERLINK("https://grants.gov/search-results-detail/353060","OFOP0001318")</f>
        <v>OFOP0001318</v>
      </c>
      <c r="B295" s="6" t="s">
        <v>1474</v>
      </c>
      <c r="C295" s="6" t="s">
        <v>1475</v>
      </c>
      <c r="D295" s="6" t="s">
        <v>1476</v>
      </c>
      <c r="E295" s="7">
        <v>45434</v>
      </c>
      <c r="F295" s="8">
        <v>25000</v>
      </c>
      <c r="G295" s="8">
        <v>10000</v>
      </c>
      <c r="H295" s="6">
        <v>4</v>
      </c>
      <c r="I295" s="6" t="s">
        <v>1477</v>
      </c>
      <c r="J295" s="6" t="s">
        <v>1478</v>
      </c>
    </row>
    <row r="296" spans="1:10" ht="150" x14ac:dyDescent="0.25">
      <c r="A296" s="6" t="str">
        <f>HYPERLINK("https://grants.gov/search-results-detail/352910","TOKYO-PAS-FY24-03")</f>
        <v>TOKYO-PAS-FY24-03</v>
      </c>
      <c r="B296" s="6" t="s">
        <v>1617</v>
      </c>
      <c r="C296" s="6" t="s">
        <v>1618</v>
      </c>
      <c r="D296" s="6" t="s">
        <v>1619</v>
      </c>
      <c r="E296" s="7">
        <v>45427</v>
      </c>
      <c r="F296" s="8">
        <v>85000</v>
      </c>
      <c r="G296" s="8">
        <v>50000</v>
      </c>
      <c r="H296" s="6">
        <v>1</v>
      </c>
      <c r="I296" s="6" t="s">
        <v>1620</v>
      </c>
      <c r="J296" s="6" t="s">
        <v>1621</v>
      </c>
    </row>
    <row r="297" spans="1:10" ht="409.5" x14ac:dyDescent="0.25">
      <c r="A297" s="6" t="str">
        <f>HYPERLINK("https://grants.gov/search-results-detail/353066","DOS-KAZ-AST-AEECA-24-003")</f>
        <v>DOS-KAZ-AST-AEECA-24-003</v>
      </c>
      <c r="B297" s="6" t="s">
        <v>1429</v>
      </c>
      <c r="C297" s="6" t="s">
        <v>619</v>
      </c>
      <c r="D297" s="6" t="s">
        <v>620</v>
      </c>
      <c r="E297" s="7">
        <v>45432</v>
      </c>
      <c r="F297" s="8">
        <v>150000</v>
      </c>
      <c r="G297" s="8">
        <v>50000</v>
      </c>
      <c r="H297" s="6">
        <v>2</v>
      </c>
      <c r="I297" s="6" t="s">
        <v>1430</v>
      </c>
      <c r="J297" s="6" t="s">
        <v>1431</v>
      </c>
    </row>
    <row r="298" spans="1:10" ht="409.5" x14ac:dyDescent="0.25">
      <c r="A298" s="6" t="str">
        <f>HYPERLINK("https://grants.gov/search-results-detail/353065","DOS-KAZ-AST-AEECA-24-002")</f>
        <v>DOS-KAZ-AST-AEECA-24-002</v>
      </c>
      <c r="B298" s="6" t="s">
        <v>1432</v>
      </c>
      <c r="C298" s="6" t="s">
        <v>619</v>
      </c>
      <c r="D298" s="6" t="s">
        <v>620</v>
      </c>
      <c r="E298" s="7">
        <v>45432</v>
      </c>
      <c r="F298" s="8">
        <v>50000</v>
      </c>
      <c r="G298" s="8">
        <v>20000</v>
      </c>
      <c r="H298" s="6">
        <v>5</v>
      </c>
      <c r="I298" s="6" t="s">
        <v>1433</v>
      </c>
      <c r="J298" s="6" t="s">
        <v>1434</v>
      </c>
    </row>
    <row r="299" spans="1:10" ht="409.5" x14ac:dyDescent="0.25">
      <c r="A299" s="6" t="str">
        <f>HYPERLINK("https://grants.gov/search-results-detail/353547","DOS-KAZ-AST-AEECA-24-004")</f>
        <v>DOS-KAZ-AST-AEECA-24-004</v>
      </c>
      <c r="B299" s="6" t="s">
        <v>618</v>
      </c>
      <c r="C299" s="6" t="s">
        <v>619</v>
      </c>
      <c r="D299" s="6" t="s">
        <v>620</v>
      </c>
      <c r="E299" s="7">
        <v>45452</v>
      </c>
      <c r="F299" s="8">
        <v>40000</v>
      </c>
      <c r="G299" s="8">
        <v>30000</v>
      </c>
      <c r="I299" s="6" t="s">
        <v>621</v>
      </c>
      <c r="J299" s="6" t="s">
        <v>622</v>
      </c>
    </row>
    <row r="300" spans="1:10" ht="409.5" x14ac:dyDescent="0.25">
      <c r="A300" s="6" t="str">
        <f>HYPERLINK("https://grants.gov/search-results-detail/352344","DOS-NBO-PDS-FY24-001")</f>
        <v>DOS-NBO-PDS-FY24-001</v>
      </c>
      <c r="B300" s="6" t="s">
        <v>1868</v>
      </c>
      <c r="C300" s="6" t="s">
        <v>1869</v>
      </c>
      <c r="D300" s="6" t="s">
        <v>1870</v>
      </c>
      <c r="E300" s="7">
        <v>45473</v>
      </c>
      <c r="F300" s="8">
        <v>30000</v>
      </c>
      <c r="G300" s="8">
        <v>15000</v>
      </c>
      <c r="I300" s="6" t="s">
        <v>1871</v>
      </c>
      <c r="J300" s="6" t="s">
        <v>1872</v>
      </c>
    </row>
    <row r="301" spans="1:10" ht="409.5" x14ac:dyDescent="0.25">
      <c r="A301" s="6" t="str">
        <f>HYPERLINK("https://grants.gov/search-results-detail/353041","KUWAIT-PAS-2024-01")</f>
        <v>KUWAIT-PAS-2024-01</v>
      </c>
      <c r="B301" s="6" t="s">
        <v>1447</v>
      </c>
      <c r="C301" s="6" t="s">
        <v>1448</v>
      </c>
      <c r="D301" s="6" t="s">
        <v>1449</v>
      </c>
      <c r="E301" s="7">
        <v>45443</v>
      </c>
      <c r="F301" s="8">
        <v>25000</v>
      </c>
      <c r="G301" s="8">
        <v>5000</v>
      </c>
      <c r="I301" s="6" t="s">
        <v>1450</v>
      </c>
      <c r="J301" s="6" t="s">
        <v>1451</v>
      </c>
    </row>
    <row r="302" spans="1:10" ht="409.5" x14ac:dyDescent="0.25">
      <c r="A302" s="6" t="str">
        <f>HYPERLINK("https://grants.gov/search-results-detail/351810","PDS-CHISINAU-FY24-02")</f>
        <v>PDS-CHISINAU-FY24-02</v>
      </c>
      <c r="B302" s="6" t="s">
        <v>1982</v>
      </c>
      <c r="C302" s="6" t="s">
        <v>1983</v>
      </c>
      <c r="D302" s="6" t="s">
        <v>1984</v>
      </c>
      <c r="E302" s="7">
        <v>45473</v>
      </c>
      <c r="F302" s="8">
        <v>100000</v>
      </c>
      <c r="G302" s="8">
        <v>25000</v>
      </c>
      <c r="H302" s="6">
        <v>10</v>
      </c>
      <c r="I302" s="6" t="s">
        <v>1985</v>
      </c>
      <c r="J302" s="6" t="s">
        <v>1986</v>
      </c>
    </row>
    <row r="303" spans="1:10" ht="409.5" x14ac:dyDescent="0.25">
      <c r="A303" s="6" t="str">
        <f>HYPERLINK("https://grants.gov/search-results-detail/353866","PD-CJ-APS-FY24-01")</f>
        <v>PD-CJ-APS-FY24-01</v>
      </c>
      <c r="B303" s="6" t="s">
        <v>128</v>
      </c>
      <c r="C303" s="6" t="s">
        <v>129</v>
      </c>
      <c r="D303" s="6" t="s">
        <v>130</v>
      </c>
      <c r="E303" s="7">
        <v>45443</v>
      </c>
      <c r="F303" s="8">
        <v>50000</v>
      </c>
      <c r="G303" s="8">
        <v>10000</v>
      </c>
      <c r="H303" s="6">
        <v>10</v>
      </c>
      <c r="I303" s="6" t="s">
        <v>131</v>
      </c>
      <c r="J303" s="6" t="s">
        <v>132</v>
      </c>
    </row>
    <row r="304" spans="1:10" ht="270" x14ac:dyDescent="0.25">
      <c r="A304" s="6" t="str">
        <f>HYPERLINK("https://grants.gov/search-results-detail/352321","PAS-800-FY24-03")</f>
        <v>PAS-800-FY24-03</v>
      </c>
      <c r="B304" s="6" t="s">
        <v>1865</v>
      </c>
      <c r="C304" s="6" t="s">
        <v>903</v>
      </c>
      <c r="D304" s="6" t="s">
        <v>904</v>
      </c>
      <c r="E304" s="7">
        <v>45443</v>
      </c>
      <c r="F304" s="8">
        <v>50000</v>
      </c>
      <c r="G304" s="8">
        <v>1000</v>
      </c>
      <c r="H304" s="6">
        <v>15</v>
      </c>
      <c r="I304" s="6" t="s">
        <v>1866</v>
      </c>
      <c r="J304" s="6" t="s">
        <v>1867</v>
      </c>
    </row>
    <row r="305" spans="1:10" ht="300" x14ac:dyDescent="0.25">
      <c r="A305" s="6" t="str">
        <f>HYPERLINK("https://grants.gov/search-results-detail/353387","SMK800-24-PAS004")</f>
        <v>SMK800-24-PAS004</v>
      </c>
      <c r="B305" s="6" t="s">
        <v>902</v>
      </c>
      <c r="C305" s="6" t="s">
        <v>903</v>
      </c>
      <c r="D305" s="6" t="s">
        <v>904</v>
      </c>
      <c r="E305" s="7">
        <v>45447</v>
      </c>
      <c r="F305" s="8">
        <v>50000</v>
      </c>
      <c r="G305" s="8">
        <v>5000</v>
      </c>
      <c r="H305" s="6">
        <v>4</v>
      </c>
      <c r="I305" s="6" t="s">
        <v>905</v>
      </c>
      <c r="J305" s="6" t="s">
        <v>906</v>
      </c>
    </row>
    <row r="306" spans="1:10" ht="409.5" x14ac:dyDescent="0.25">
      <c r="A306" s="6" t="str">
        <f>HYPERLINK("https://grants.gov/search-results-detail/351876","PAS-800-FY24-02")</f>
        <v>PAS-800-FY24-02</v>
      </c>
      <c r="B306" s="6" t="s">
        <v>1971</v>
      </c>
      <c r="C306" s="6" t="s">
        <v>903</v>
      </c>
      <c r="D306" s="6" t="s">
        <v>904</v>
      </c>
      <c r="E306" s="7">
        <v>45519</v>
      </c>
      <c r="F306" s="8">
        <v>20000</v>
      </c>
      <c r="G306" s="8">
        <v>1000</v>
      </c>
      <c r="H306" s="6">
        <v>12</v>
      </c>
      <c r="I306" s="6" t="s">
        <v>1972</v>
      </c>
      <c r="J306" s="6" t="s">
        <v>1973</v>
      </c>
    </row>
    <row r="307" spans="1:10" ht="330" x14ac:dyDescent="0.25">
      <c r="A307" s="6" t="str">
        <f>HYPERLINK("https://grants.gov/search-results-detail/353235","2024-FY21-INCLE-INLPODGORICA")</f>
        <v>2024-FY21-INCLE-INLPODGORICA</v>
      </c>
      <c r="B307" s="6" t="s">
        <v>1159</v>
      </c>
      <c r="C307" s="6" t="s">
        <v>1160</v>
      </c>
      <c r="D307" s="6" t="s">
        <v>1161</v>
      </c>
      <c r="E307" s="7">
        <v>45440</v>
      </c>
      <c r="F307" s="8">
        <v>250000</v>
      </c>
      <c r="G307" s="8">
        <v>50000</v>
      </c>
      <c r="H307" s="6">
        <v>4</v>
      </c>
      <c r="I307" s="6" t="s">
        <v>1162</v>
      </c>
      <c r="J307" s="6" t="s">
        <v>1163</v>
      </c>
    </row>
    <row r="308" spans="1:10" ht="409.5" x14ac:dyDescent="0.25">
      <c r="A308" s="6" t="str">
        <f>HYPERLINK("https://grants.gov/search-results-detail/353089","SMZ-500-FY24-01")</f>
        <v>SMZ-500-FY24-01</v>
      </c>
      <c r="B308" s="6" t="s">
        <v>1092</v>
      </c>
      <c r="C308" s="6" t="s">
        <v>1093</v>
      </c>
      <c r="D308" s="6" t="s">
        <v>1094</v>
      </c>
      <c r="E308" s="7">
        <v>45442</v>
      </c>
      <c r="F308" s="8">
        <v>10000</v>
      </c>
      <c r="G308" s="8">
        <v>1000</v>
      </c>
      <c r="H308" s="6">
        <v>8</v>
      </c>
      <c r="I308" s="6" t="s">
        <v>1095</v>
      </c>
      <c r="J308" s="6" t="s">
        <v>1096</v>
      </c>
    </row>
    <row r="309" spans="1:10" ht="409.5" x14ac:dyDescent="0.25">
      <c r="A309" s="6" t="str">
        <f>HYPERLINK("https://grants.gov/search-results-detail/351486","PDS-LILONGWE-FY24-APS01")</f>
        <v>PDS-LILONGWE-FY24-APS01</v>
      </c>
      <c r="B309" s="6" t="s">
        <v>2054</v>
      </c>
      <c r="C309" s="6" t="s">
        <v>2055</v>
      </c>
      <c r="D309" s="6" t="s">
        <v>2056</v>
      </c>
      <c r="E309" s="7">
        <v>45443</v>
      </c>
      <c r="F309" s="8">
        <v>100000</v>
      </c>
      <c r="G309" s="8">
        <v>5000</v>
      </c>
      <c r="H309" s="6">
        <v>20</v>
      </c>
      <c r="I309" s="6" t="s">
        <v>2057</v>
      </c>
      <c r="J309" s="6" t="s">
        <v>2058</v>
      </c>
    </row>
    <row r="310" spans="1:10" ht="409.5" x14ac:dyDescent="0.25">
      <c r="A310" s="6" t="str">
        <f>HYPERLINK("https://grants.gov/search-results-detail/351717","PDS-WINDHOEK-FY2024-05-5")</f>
        <v>PDS-WINDHOEK-FY2024-05-5</v>
      </c>
      <c r="B310" s="6" t="s">
        <v>2000</v>
      </c>
      <c r="C310" s="6" t="s">
        <v>2001</v>
      </c>
      <c r="D310" s="6" t="s">
        <v>2002</v>
      </c>
      <c r="E310" s="7">
        <v>45473</v>
      </c>
      <c r="F310" s="8">
        <v>10000</v>
      </c>
      <c r="G310" s="8">
        <v>5000</v>
      </c>
      <c r="H310" s="6">
        <v>5</v>
      </c>
      <c r="I310" s="6" t="s">
        <v>2003</v>
      </c>
      <c r="J310" s="6" t="s">
        <v>2004</v>
      </c>
    </row>
    <row r="311" spans="1:10" ht="409.5" x14ac:dyDescent="0.25">
      <c r="A311" s="6" t="str">
        <f>HYPERLINK("https://grants.gov/search-results-detail/353039","DFOP0010739")</f>
        <v>DFOP0010739</v>
      </c>
      <c r="B311" s="6" t="s">
        <v>1559</v>
      </c>
      <c r="C311" s="6" t="s">
        <v>1245</v>
      </c>
      <c r="D311" s="6" t="s">
        <v>1246</v>
      </c>
      <c r="E311" s="7">
        <v>45429</v>
      </c>
      <c r="F311" s="8">
        <v>500000</v>
      </c>
      <c r="G311" s="8">
        <v>200000</v>
      </c>
      <c r="H311" s="6">
        <v>2</v>
      </c>
      <c r="I311" s="6" t="s">
        <v>1560</v>
      </c>
      <c r="J311" s="6" t="s">
        <v>1561</v>
      </c>
    </row>
    <row r="312" spans="1:10" ht="135" x14ac:dyDescent="0.25">
      <c r="A312" s="6" t="str">
        <f>HYPERLINK("https://grants.gov/search-results-detail/353189","DFOP0010765")</f>
        <v>DFOP0010765</v>
      </c>
      <c r="B312" s="6" t="s">
        <v>1244</v>
      </c>
      <c r="C312" s="6" t="s">
        <v>1245</v>
      </c>
      <c r="D312" s="6" t="s">
        <v>1246</v>
      </c>
      <c r="E312" s="7">
        <v>45431</v>
      </c>
      <c r="F312" s="8">
        <v>3000000</v>
      </c>
      <c r="G312" s="8">
        <v>1000000</v>
      </c>
      <c r="H312" s="6">
        <v>4</v>
      </c>
      <c r="I312" s="6" t="s">
        <v>1247</v>
      </c>
      <c r="J312" s="6" t="s">
        <v>1248</v>
      </c>
    </row>
    <row r="313" spans="1:10" ht="409.5" x14ac:dyDescent="0.25">
      <c r="A313" s="6" t="str">
        <f>HYPERLINK("https://grants.gov/search-results-detail/351593","PDS-NIAMEY-FY24-APS")</f>
        <v>PDS-NIAMEY-FY24-APS</v>
      </c>
      <c r="B313" s="6" t="s">
        <v>2020</v>
      </c>
      <c r="C313" s="6" t="s">
        <v>1830</v>
      </c>
      <c r="D313" s="6" t="s">
        <v>1831</v>
      </c>
      <c r="E313" s="7">
        <v>45444</v>
      </c>
      <c r="F313" s="8">
        <v>20000</v>
      </c>
      <c r="G313" s="8">
        <v>250</v>
      </c>
      <c r="H313" s="6">
        <v>10</v>
      </c>
      <c r="I313" s="6" t="s">
        <v>2021</v>
      </c>
      <c r="J313" s="6" t="s">
        <v>2022</v>
      </c>
    </row>
    <row r="314" spans="1:10" ht="409.5" x14ac:dyDescent="0.25">
      <c r="A314" s="6" t="str">
        <f>HYPERLINK("https://grants.gov/search-results-detail/352462","AF-NER-24-001")</f>
        <v>AF-NER-24-001</v>
      </c>
      <c r="B314" s="6" t="s">
        <v>1829</v>
      </c>
      <c r="C314" s="6" t="s">
        <v>1830</v>
      </c>
      <c r="D314" s="6" t="s">
        <v>1831</v>
      </c>
      <c r="E314" s="7">
        <v>45474</v>
      </c>
      <c r="F314" s="8">
        <v>20000</v>
      </c>
      <c r="G314" s="8">
        <v>250</v>
      </c>
      <c r="H314" s="6">
        <v>10</v>
      </c>
      <c r="I314" s="6" t="s">
        <v>1832</v>
      </c>
      <c r="J314" s="6" t="s">
        <v>1833</v>
      </c>
    </row>
    <row r="315" spans="1:10" ht="409.5" x14ac:dyDescent="0.25">
      <c r="A315" s="6" t="str">
        <f>HYPERLINK("https://grants.gov/search-results-detail/352673","NGA-POLECON-GR-24-001-02282024")</f>
        <v>NGA-POLECON-GR-24-001-02282024</v>
      </c>
      <c r="B315" s="6" t="s">
        <v>1772</v>
      </c>
      <c r="C315" s="6" t="s">
        <v>6</v>
      </c>
      <c r="D315" s="6" t="s">
        <v>7</v>
      </c>
      <c r="E315" s="7">
        <v>45443</v>
      </c>
      <c r="F315" s="8">
        <v>7000</v>
      </c>
      <c r="G315" s="8">
        <v>5000</v>
      </c>
      <c r="H315" s="6">
        <v>10</v>
      </c>
      <c r="I315" s="6" t="s">
        <v>1773</v>
      </c>
      <c r="J315" s="6" t="s">
        <v>1774</v>
      </c>
    </row>
    <row r="316" spans="1:10" ht="409.5" x14ac:dyDescent="0.25">
      <c r="A316" s="6" t="str">
        <f>HYPERLINK("https://grants.gov/search-results-detail/353786","DOS-NGA-ABV-PEPFAR-GR-24-001-042524")</f>
        <v>DOS-NGA-ABV-PEPFAR-GR-24-001-042524</v>
      </c>
      <c r="B316" s="6" t="s">
        <v>201</v>
      </c>
      <c r="C316" s="6" t="s">
        <v>6</v>
      </c>
      <c r="D316" s="6" t="s">
        <v>7</v>
      </c>
      <c r="E316" s="7">
        <v>45468</v>
      </c>
      <c r="F316" s="8">
        <v>25000</v>
      </c>
      <c r="G316" s="8" t="s">
        <v>18</v>
      </c>
      <c r="H316" s="6">
        <v>50</v>
      </c>
      <c r="I316" s="6" t="s">
        <v>202</v>
      </c>
      <c r="J316" s="6" t="s">
        <v>203</v>
      </c>
    </row>
    <row r="317" spans="1:10" ht="409.5" x14ac:dyDescent="0.25">
      <c r="A317" s="6" t="str">
        <f>HYPERLINK("https://grants.gov/search-results-detail/353882","ECO-NOFO-FY24-02")</f>
        <v>ECO-NOFO-FY24-02</v>
      </c>
      <c r="B317" s="6" t="s">
        <v>5</v>
      </c>
      <c r="C317" s="6" t="s">
        <v>6</v>
      </c>
      <c r="D317" s="6" t="s">
        <v>7</v>
      </c>
      <c r="E317" s="7">
        <v>45472</v>
      </c>
      <c r="F317" s="8">
        <v>70000</v>
      </c>
      <c r="G317" s="8">
        <v>70000</v>
      </c>
      <c r="H317" s="6">
        <v>1</v>
      </c>
      <c r="I317" s="6" t="s">
        <v>8</v>
      </c>
      <c r="J317" s="6" t="s">
        <v>9</v>
      </c>
    </row>
    <row r="318" spans="1:10" ht="195" x14ac:dyDescent="0.25">
      <c r="A318" s="6" t="str">
        <f>HYPERLINK("https://grants.gov/search-results-detail/353456","DFOP0010749")</f>
        <v>DFOP0010749</v>
      </c>
      <c r="B318" s="6" t="s">
        <v>777</v>
      </c>
      <c r="C318" s="6" t="s">
        <v>184</v>
      </c>
      <c r="D318" s="6" t="s">
        <v>185</v>
      </c>
      <c r="E318" s="7">
        <v>45434</v>
      </c>
      <c r="F318" s="8">
        <v>1000000</v>
      </c>
      <c r="G318" s="8">
        <v>0</v>
      </c>
      <c r="H318" s="6">
        <v>1</v>
      </c>
      <c r="I318" s="6" t="s">
        <v>186</v>
      </c>
      <c r="J318" s="6" t="s">
        <v>778</v>
      </c>
    </row>
    <row r="319" spans="1:10" ht="195" x14ac:dyDescent="0.25">
      <c r="A319" s="6" t="str">
        <f>HYPERLINK("https://grants.gov/search-results-detail/353457","DFOP0010759")</f>
        <v>DFOP0010759</v>
      </c>
      <c r="B319" s="6" t="s">
        <v>779</v>
      </c>
      <c r="C319" s="6" t="s">
        <v>184</v>
      </c>
      <c r="D319" s="6" t="s">
        <v>185</v>
      </c>
      <c r="E319" s="7">
        <v>45434</v>
      </c>
      <c r="F319" s="8">
        <v>1000000</v>
      </c>
      <c r="G319" s="8">
        <v>0</v>
      </c>
      <c r="H319" s="6">
        <v>1</v>
      </c>
      <c r="I319" s="6" t="s">
        <v>186</v>
      </c>
      <c r="J319" s="6" t="s">
        <v>780</v>
      </c>
    </row>
    <row r="320" spans="1:10" ht="195" x14ac:dyDescent="0.25">
      <c r="A320" s="6" t="str">
        <f>HYPERLINK("https://grants.gov/search-results-detail/353455","DFOP0010757")</f>
        <v>DFOP0010757</v>
      </c>
      <c r="B320" s="6" t="s">
        <v>781</v>
      </c>
      <c r="C320" s="6" t="s">
        <v>184</v>
      </c>
      <c r="D320" s="6" t="s">
        <v>185</v>
      </c>
      <c r="E320" s="7">
        <v>45434</v>
      </c>
      <c r="F320" s="8">
        <v>300000</v>
      </c>
      <c r="G320" s="8">
        <v>0</v>
      </c>
      <c r="H320" s="6">
        <v>1</v>
      </c>
      <c r="I320" s="6" t="s">
        <v>186</v>
      </c>
      <c r="J320" s="6" t="s">
        <v>782</v>
      </c>
    </row>
    <row r="321" spans="1:10" ht="210" x14ac:dyDescent="0.25">
      <c r="A321" s="6" t="str">
        <f>HYPERLINK("https://grants.gov/search-results-detail/353454","DFOP0010750")</f>
        <v>DFOP0010750</v>
      </c>
      <c r="B321" s="6" t="s">
        <v>806</v>
      </c>
      <c r="C321" s="6" t="s">
        <v>184</v>
      </c>
      <c r="D321" s="6" t="s">
        <v>185</v>
      </c>
      <c r="E321" s="7">
        <v>45434</v>
      </c>
      <c r="F321" s="8">
        <v>250000</v>
      </c>
      <c r="G321" s="8">
        <v>0</v>
      </c>
      <c r="H321" s="6">
        <v>1</v>
      </c>
      <c r="I321" s="6" t="s">
        <v>186</v>
      </c>
      <c r="J321" s="6" t="s">
        <v>807</v>
      </c>
    </row>
    <row r="322" spans="1:10" ht="195" x14ac:dyDescent="0.25">
      <c r="A322" s="6" t="str">
        <f>HYPERLINK("https://grants.gov/search-results-detail/353831","DFOP0014015")</f>
        <v>DFOP0014015</v>
      </c>
      <c r="B322" s="6" t="s">
        <v>183</v>
      </c>
      <c r="C322" s="6" t="s">
        <v>184</v>
      </c>
      <c r="D322" s="6" t="s">
        <v>185</v>
      </c>
      <c r="E322" s="7">
        <v>45455</v>
      </c>
      <c r="F322" s="8">
        <v>800000</v>
      </c>
      <c r="G322" s="8">
        <v>0</v>
      </c>
      <c r="H322" s="6">
        <v>1</v>
      </c>
      <c r="I322" s="6" t="s">
        <v>186</v>
      </c>
      <c r="J322" s="6" t="s">
        <v>187</v>
      </c>
    </row>
    <row r="323" spans="1:10" ht="360" x14ac:dyDescent="0.25">
      <c r="A323" s="6" t="str">
        <f>HYPERLINK("https://grants.gov/search-results-detail/353087","SCAISB-24-AW-020-03212024")</f>
        <v>SCAISB-24-AW-020-03212024</v>
      </c>
      <c r="B323" s="6" t="s">
        <v>1387</v>
      </c>
      <c r="C323" s="6" t="s">
        <v>1388</v>
      </c>
      <c r="D323" s="6" t="s">
        <v>1389</v>
      </c>
      <c r="E323" s="7">
        <v>45473</v>
      </c>
      <c r="F323" s="8">
        <v>150000</v>
      </c>
      <c r="G323" s="8">
        <v>20000</v>
      </c>
      <c r="H323" s="6">
        <v>15</v>
      </c>
      <c r="I323" s="6" t="s">
        <v>1390</v>
      </c>
      <c r="J323" s="6" t="s">
        <v>1391</v>
      </c>
    </row>
    <row r="324" spans="1:10" ht="255" x14ac:dyDescent="0.25">
      <c r="A324" s="6" t="str">
        <f>HYPERLINK("https://grants.gov/search-results-detail/353523","DOS-PNG-24-SOI-001")</f>
        <v>DOS-PNG-24-SOI-001</v>
      </c>
      <c r="B324" s="6" t="s">
        <v>671</v>
      </c>
      <c r="C324" s="6" t="s">
        <v>652</v>
      </c>
      <c r="D324" s="6" t="s">
        <v>653</v>
      </c>
      <c r="E324" s="7">
        <v>45457</v>
      </c>
      <c r="F324" s="8">
        <v>1973000</v>
      </c>
      <c r="G324" s="8">
        <v>0</v>
      </c>
      <c r="H324" s="6">
        <v>1</v>
      </c>
      <c r="I324" s="6" t="s">
        <v>24</v>
      </c>
      <c r="J324" s="6" t="s">
        <v>672</v>
      </c>
    </row>
    <row r="325" spans="1:10" ht="405" x14ac:dyDescent="0.25">
      <c r="A325" s="6" t="str">
        <f>HYPERLINK("https://grants.gov/search-results-detail/353524","PAS-PNG-APS-FY24")</f>
        <v>PAS-PNG-APS-FY24</v>
      </c>
      <c r="B325" s="6" t="s">
        <v>651</v>
      </c>
      <c r="C325" s="6" t="s">
        <v>652</v>
      </c>
      <c r="D325" s="6" t="s">
        <v>653</v>
      </c>
      <c r="E325" s="7">
        <v>45488</v>
      </c>
      <c r="F325" s="8">
        <v>250000</v>
      </c>
      <c r="G325" s="8">
        <v>0</v>
      </c>
      <c r="H325" s="6">
        <v>20</v>
      </c>
      <c r="I325" s="6" t="s">
        <v>654</v>
      </c>
      <c r="J325" s="6" t="s">
        <v>655</v>
      </c>
    </row>
    <row r="326" spans="1:10" ht="409.5" x14ac:dyDescent="0.25">
      <c r="A326" s="6" t="str">
        <f>HYPERLINK("https://grants.gov/search-results-detail/351537","WAW-NOFO-FY24-01")</f>
        <v>WAW-NOFO-FY24-01</v>
      </c>
      <c r="B326" s="6" t="s">
        <v>2044</v>
      </c>
      <c r="C326" s="6" t="s">
        <v>2045</v>
      </c>
      <c r="D326" s="6" t="s">
        <v>2046</v>
      </c>
      <c r="F326" s="8">
        <v>40000</v>
      </c>
      <c r="G326" s="8">
        <v>15000</v>
      </c>
      <c r="H326" s="6">
        <v>8</v>
      </c>
      <c r="I326" s="6" t="s">
        <v>2047</v>
      </c>
      <c r="J326" s="6" t="s">
        <v>2048</v>
      </c>
    </row>
    <row r="327" spans="1:10" ht="409.5" x14ac:dyDescent="0.25">
      <c r="A327" s="6" t="str">
        <f>HYPERLINK("https://grants.gov/search-results-detail/353465","DFOP0013457")</f>
        <v>DFOP0013457</v>
      </c>
      <c r="B327" s="6" t="s">
        <v>814</v>
      </c>
      <c r="C327" s="6" t="s">
        <v>586</v>
      </c>
      <c r="D327" s="6" t="s">
        <v>587</v>
      </c>
      <c r="E327" s="7">
        <v>45452</v>
      </c>
      <c r="F327" s="8">
        <v>200000000</v>
      </c>
      <c r="G327" s="8">
        <v>0</v>
      </c>
      <c r="H327" s="6">
        <v>7</v>
      </c>
      <c r="I327" s="6" t="s">
        <v>815</v>
      </c>
      <c r="J327" s="6" t="s">
        <v>816</v>
      </c>
    </row>
    <row r="328" spans="1:10" ht="409.5" x14ac:dyDescent="0.25">
      <c r="A328" s="6" t="str">
        <f>HYPERLINK("https://grants.gov/search-results-detail/353576","DFOP0013979")</f>
        <v>DFOP0013979</v>
      </c>
      <c r="B328" s="6" t="s">
        <v>585</v>
      </c>
      <c r="C328" s="6" t="s">
        <v>586</v>
      </c>
      <c r="D328" s="6" t="s">
        <v>587</v>
      </c>
      <c r="E328" s="7">
        <v>45460</v>
      </c>
      <c r="F328" s="8">
        <v>400000</v>
      </c>
      <c r="G328" s="8">
        <v>100000</v>
      </c>
      <c r="H328" s="6">
        <v>0</v>
      </c>
      <c r="I328" s="6" t="s">
        <v>588</v>
      </c>
      <c r="J328" s="6" t="s">
        <v>589</v>
      </c>
    </row>
    <row r="329" spans="1:10" ht="409.5" x14ac:dyDescent="0.25">
      <c r="A329" s="6" t="str">
        <f>HYPERLINK("https://grants.gov/search-results-detail/353561","DOS-RWANDA-PE-2024-01")</f>
        <v>DOS-RWANDA-PE-2024-01</v>
      </c>
      <c r="B329" s="6" t="s">
        <v>569</v>
      </c>
      <c r="C329" s="6" t="s">
        <v>570</v>
      </c>
      <c r="D329" s="6" t="s">
        <v>571</v>
      </c>
      <c r="E329" s="7">
        <v>45443</v>
      </c>
      <c r="F329" s="8">
        <v>10000</v>
      </c>
      <c r="G329" s="8">
        <v>3000</v>
      </c>
      <c r="H329" s="6">
        <v>4</v>
      </c>
      <c r="I329" s="6" t="s">
        <v>572</v>
      </c>
      <c r="J329" s="6" t="s">
        <v>573</v>
      </c>
    </row>
    <row r="330" spans="1:10" ht="405" x14ac:dyDescent="0.25">
      <c r="A330" s="6" t="str">
        <f>HYPERLINK("https://grants.gov/search-results-detail/351833","PD-KIGALI-FY24-02")</f>
        <v>PD-KIGALI-FY24-02</v>
      </c>
      <c r="B330" s="6" t="s">
        <v>1979</v>
      </c>
      <c r="C330" s="6" t="s">
        <v>570</v>
      </c>
      <c r="D330" s="6" t="s">
        <v>571</v>
      </c>
      <c r="E330" s="7">
        <v>45443</v>
      </c>
      <c r="F330" s="8">
        <v>25000</v>
      </c>
      <c r="G330" s="8">
        <v>2000</v>
      </c>
      <c r="H330" s="6">
        <v>5</v>
      </c>
      <c r="I330" s="6" t="s">
        <v>1980</v>
      </c>
      <c r="J330" s="6" t="s">
        <v>1981</v>
      </c>
    </row>
    <row r="331" spans="1:10" ht="315" x14ac:dyDescent="0.25">
      <c r="A331" s="6" t="str">
        <f>HYPERLINK("https://grants.gov/search-results-detail/352638","PAS-YAU-FY24-01")</f>
        <v>PAS-YAU-FY24-01</v>
      </c>
      <c r="B331" s="6" t="s">
        <v>1781</v>
      </c>
      <c r="C331" s="6" t="s">
        <v>1782</v>
      </c>
      <c r="D331" s="6" t="s">
        <v>1783</v>
      </c>
      <c r="E331" s="7">
        <v>45474</v>
      </c>
      <c r="F331" s="8">
        <v>80000</v>
      </c>
      <c r="G331" s="8">
        <v>25000</v>
      </c>
      <c r="I331" s="6" t="s">
        <v>1784</v>
      </c>
      <c r="J331" s="6" t="s">
        <v>1785</v>
      </c>
    </row>
    <row r="332" spans="1:10" ht="120" x14ac:dyDescent="0.25">
      <c r="A332" s="6" t="str">
        <f>HYPERLINK("https://grants.gov/search-results-detail/353010","DFOP0009915")</f>
        <v>DFOP0009915</v>
      </c>
      <c r="B332" s="6" t="s">
        <v>1556</v>
      </c>
      <c r="C332" s="6" t="s">
        <v>124</v>
      </c>
      <c r="D332" s="6" t="s">
        <v>125</v>
      </c>
      <c r="E332" s="7">
        <v>45427</v>
      </c>
      <c r="F332" s="8">
        <v>1480019</v>
      </c>
      <c r="G332" s="8">
        <v>1480019</v>
      </c>
      <c r="H332" s="6">
        <v>1</v>
      </c>
      <c r="I332" s="6" t="s">
        <v>1557</v>
      </c>
      <c r="J332" s="6" t="s">
        <v>1558</v>
      </c>
    </row>
    <row r="333" spans="1:10" ht="120" x14ac:dyDescent="0.25">
      <c r="A333" s="6" t="str">
        <f>HYPERLINK("https://grants.gov/search-results-detail/352930","DFOP0009889")</f>
        <v>DFOP0009889</v>
      </c>
      <c r="B333" s="6" t="s">
        <v>1658</v>
      </c>
      <c r="C333" s="6" t="s">
        <v>124</v>
      </c>
      <c r="D333" s="6" t="s">
        <v>125</v>
      </c>
      <c r="E333" s="7">
        <v>45429</v>
      </c>
      <c r="F333" s="8">
        <v>1480019</v>
      </c>
      <c r="G333" s="8">
        <v>1000</v>
      </c>
      <c r="H333" s="6">
        <v>1</v>
      </c>
      <c r="I333" s="6" t="s">
        <v>1557</v>
      </c>
      <c r="J333" s="6" t="s">
        <v>1659</v>
      </c>
    </row>
    <row r="334" spans="1:10" ht="409.5" x14ac:dyDescent="0.25">
      <c r="A334" s="6" t="str">
        <f>HYPERLINK("https://grants.gov/search-results-detail/353705","DFOP0014002")</f>
        <v>DFOP0014002</v>
      </c>
      <c r="B334" s="6" t="s">
        <v>352</v>
      </c>
      <c r="C334" s="6" t="s">
        <v>124</v>
      </c>
      <c r="D334" s="6" t="s">
        <v>125</v>
      </c>
      <c r="E334" s="7">
        <v>45434</v>
      </c>
      <c r="F334" s="8">
        <v>6906758</v>
      </c>
      <c r="G334" s="8">
        <v>6906758</v>
      </c>
      <c r="H334" s="6">
        <v>0</v>
      </c>
      <c r="I334" s="6" t="s">
        <v>353</v>
      </c>
      <c r="J334" s="6" t="s">
        <v>354</v>
      </c>
    </row>
    <row r="335" spans="1:10" ht="135" x14ac:dyDescent="0.25">
      <c r="A335" s="6" t="str">
        <f>HYPERLINK("https://grants.gov/search-results-detail/353340","DFOP0013435")</f>
        <v>DFOP0013435</v>
      </c>
      <c r="B335" s="6" t="s">
        <v>1058</v>
      </c>
      <c r="C335" s="6" t="s">
        <v>124</v>
      </c>
      <c r="D335" s="6" t="s">
        <v>125</v>
      </c>
      <c r="E335" s="7">
        <v>45446</v>
      </c>
      <c r="F335" s="8">
        <v>1071534</v>
      </c>
      <c r="G335" s="8">
        <v>1000</v>
      </c>
      <c r="H335" s="6">
        <v>1</v>
      </c>
      <c r="I335" s="6" t="s">
        <v>1059</v>
      </c>
      <c r="J335" s="6" t="s">
        <v>1060</v>
      </c>
    </row>
    <row r="336" spans="1:10" ht="210" x14ac:dyDescent="0.25">
      <c r="A336" s="6" t="str">
        <f>HYPERLINK("https://grants.gov/search-results-detail/353487","DFOP0013436")</f>
        <v>DFOP0013436</v>
      </c>
      <c r="B336" s="6" t="s">
        <v>763</v>
      </c>
      <c r="C336" s="6" t="s">
        <v>124</v>
      </c>
      <c r="D336" s="6" t="s">
        <v>125</v>
      </c>
      <c r="E336" s="7">
        <v>45453</v>
      </c>
      <c r="F336" s="8">
        <v>493339</v>
      </c>
      <c r="G336" s="8">
        <v>1000</v>
      </c>
      <c r="H336" s="6">
        <v>1</v>
      </c>
      <c r="I336" s="6" t="s">
        <v>764</v>
      </c>
      <c r="J336" s="6" t="s">
        <v>765</v>
      </c>
    </row>
    <row r="337" spans="1:10" ht="165" x14ac:dyDescent="0.25">
      <c r="A337" s="6" t="str">
        <f>HYPERLINK("https://grants.gov/search-results-detail/353622","DFOP0013992")</f>
        <v>DFOP0013992</v>
      </c>
      <c r="B337" s="6" t="s">
        <v>459</v>
      </c>
      <c r="C337" s="6" t="s">
        <v>124</v>
      </c>
      <c r="D337" s="6" t="s">
        <v>125</v>
      </c>
      <c r="E337" s="7">
        <v>45460</v>
      </c>
      <c r="F337" s="8">
        <v>1480019</v>
      </c>
      <c r="G337" s="8">
        <v>100000</v>
      </c>
      <c r="H337" s="6">
        <v>0</v>
      </c>
      <c r="I337" s="6" t="s">
        <v>460</v>
      </c>
      <c r="J337" s="6" t="s">
        <v>461</v>
      </c>
    </row>
    <row r="338" spans="1:10" ht="120" x14ac:dyDescent="0.25">
      <c r="A338" s="6" t="str">
        <f>HYPERLINK("https://grants.gov/search-results-detail/353865","DFOP0014330")</f>
        <v>DFOP0014330</v>
      </c>
      <c r="B338" s="6" t="s">
        <v>123</v>
      </c>
      <c r="C338" s="6" t="s">
        <v>124</v>
      </c>
      <c r="D338" s="6" t="s">
        <v>125</v>
      </c>
      <c r="E338" s="7">
        <v>45471</v>
      </c>
      <c r="F338" s="8">
        <v>1480019</v>
      </c>
      <c r="G338" s="8">
        <v>1000</v>
      </c>
      <c r="H338" s="6">
        <v>1</v>
      </c>
      <c r="I338" s="6" t="s">
        <v>126</v>
      </c>
      <c r="J338" s="6" t="s">
        <v>127</v>
      </c>
    </row>
    <row r="339" spans="1:10" ht="285" x14ac:dyDescent="0.25">
      <c r="A339" s="6" t="str">
        <f>HYPERLINK("https://grants.gov/search-results-detail/353829","DOS-SEN-NOFO-2024-02")</f>
        <v>DOS-SEN-NOFO-2024-02</v>
      </c>
      <c r="B339" s="6" t="s">
        <v>148</v>
      </c>
      <c r="C339" s="6" t="s">
        <v>149</v>
      </c>
      <c r="D339" s="6" t="s">
        <v>150</v>
      </c>
      <c r="E339" s="7">
        <v>45464</v>
      </c>
      <c r="F339" s="8">
        <v>250000</v>
      </c>
      <c r="G339" s="8">
        <v>250000</v>
      </c>
      <c r="I339" s="6" t="s">
        <v>151</v>
      </c>
      <c r="J339" s="6" t="s">
        <v>152</v>
      </c>
    </row>
    <row r="340" spans="1:10" ht="409.5" x14ac:dyDescent="0.25">
      <c r="A340" s="6" t="str">
        <f>HYPERLINK("https://grants.gov/search-results-detail/353254","SRB10024FO-02")</f>
        <v>SRB10024FO-02</v>
      </c>
      <c r="B340" s="6" t="s">
        <v>1154</v>
      </c>
      <c r="C340" s="6" t="s">
        <v>1155</v>
      </c>
      <c r="D340" s="6" t="s">
        <v>1156</v>
      </c>
      <c r="E340" s="7">
        <v>45427</v>
      </c>
      <c r="F340" s="8">
        <v>300000</v>
      </c>
      <c r="G340" s="8">
        <v>25000</v>
      </c>
      <c r="H340" s="6">
        <v>5</v>
      </c>
      <c r="I340" s="6" t="s">
        <v>1157</v>
      </c>
      <c r="J340" s="6" t="s">
        <v>1158</v>
      </c>
    </row>
    <row r="341" spans="1:10" ht="409.5" x14ac:dyDescent="0.25">
      <c r="A341" s="6" t="str">
        <f>HYPERLINK("https://grants.gov/search-results-detail/353123","PAR-APS21-FY24")</f>
        <v>PAR-APS21-FY24</v>
      </c>
      <c r="B341" s="6" t="s">
        <v>1359</v>
      </c>
      <c r="C341" s="6" t="s">
        <v>1360</v>
      </c>
      <c r="D341" s="6" t="s">
        <v>1361</v>
      </c>
      <c r="E341" s="7">
        <v>45444</v>
      </c>
      <c r="F341" s="8">
        <v>10000</v>
      </c>
      <c r="G341" s="8">
        <v>5000</v>
      </c>
      <c r="H341" s="6">
        <v>3</v>
      </c>
      <c r="I341" s="6" t="s">
        <v>1362</v>
      </c>
      <c r="J341" s="6" t="s">
        <v>1363</v>
      </c>
    </row>
    <row r="342" spans="1:10" ht="409.5" x14ac:dyDescent="0.25">
      <c r="A342" s="6" t="str">
        <f>HYPERLINK("https://grants.gov/search-results-detail/353816","SVK-FY2024-04")</f>
        <v>SVK-FY2024-04</v>
      </c>
      <c r="B342" s="6" t="s">
        <v>157</v>
      </c>
      <c r="C342" s="6" t="s">
        <v>158</v>
      </c>
      <c r="D342" s="6" t="s">
        <v>159</v>
      </c>
      <c r="E342" s="7">
        <v>45459</v>
      </c>
      <c r="F342" s="8">
        <v>90000</v>
      </c>
      <c r="G342" s="8">
        <v>10000</v>
      </c>
      <c r="H342" s="6">
        <v>10</v>
      </c>
      <c r="I342" s="6" t="s">
        <v>160</v>
      </c>
      <c r="J342" s="6" t="s">
        <v>161</v>
      </c>
    </row>
    <row r="343" spans="1:10" ht="409.5" x14ac:dyDescent="0.25">
      <c r="A343" s="6" t="str">
        <f>HYPERLINK("https://grants.gov/search-results-detail/353594","OFOP0001355")</f>
        <v>OFOP0001355</v>
      </c>
      <c r="B343" s="6" t="s">
        <v>533</v>
      </c>
      <c r="C343" s="6" t="s">
        <v>158</v>
      </c>
      <c r="D343" s="6" t="s">
        <v>159</v>
      </c>
      <c r="E343" s="7">
        <v>45459</v>
      </c>
      <c r="F343" s="8">
        <v>100000</v>
      </c>
      <c r="G343" s="8">
        <v>10000</v>
      </c>
      <c r="H343" s="6">
        <v>10</v>
      </c>
      <c r="I343" s="6" t="s">
        <v>534</v>
      </c>
      <c r="J343" s="6" t="s">
        <v>535</v>
      </c>
    </row>
    <row r="344" spans="1:10" ht="409.5" x14ac:dyDescent="0.25">
      <c r="A344" s="6" t="str">
        <f>HYPERLINK("https://grants.gov/search-results-detail/350973","PAS-SVK-FY2024-01")</f>
        <v>PAS-SVK-FY2024-01</v>
      </c>
      <c r="B344" s="6" t="s">
        <v>2115</v>
      </c>
      <c r="C344" s="6" t="s">
        <v>158</v>
      </c>
      <c r="D344" s="6" t="s">
        <v>159</v>
      </c>
      <c r="E344" s="7">
        <v>45460</v>
      </c>
      <c r="F344" s="8">
        <v>24999</v>
      </c>
      <c r="G344" s="8">
        <v>1000</v>
      </c>
      <c r="H344" s="6">
        <v>20</v>
      </c>
      <c r="I344" s="6" t="s">
        <v>2116</v>
      </c>
      <c r="J344" s="6" t="s">
        <v>2117</v>
      </c>
    </row>
    <row r="345" spans="1:10" ht="360" x14ac:dyDescent="0.25">
      <c r="A345" s="6" t="str">
        <f>HYPERLINK("https://grants.gov/search-results-detail/351395","DOS-PAS-MBA-FY24-APS-01")</f>
        <v>DOS-PAS-MBA-FY24-APS-01</v>
      </c>
      <c r="B345" s="6" t="s">
        <v>2071</v>
      </c>
      <c r="C345" s="6" t="s">
        <v>2072</v>
      </c>
      <c r="D345" s="6" t="s">
        <v>2073</v>
      </c>
      <c r="E345" s="7">
        <v>45458</v>
      </c>
      <c r="F345" s="8">
        <v>10000</v>
      </c>
      <c r="G345" s="8">
        <v>5000</v>
      </c>
      <c r="I345" s="6" t="s">
        <v>2074</v>
      </c>
      <c r="J345" s="6" t="s">
        <v>2075</v>
      </c>
    </row>
    <row r="346" spans="1:10" ht="409.5" x14ac:dyDescent="0.25">
      <c r="A346" s="6" t="str">
        <f>HYPERLINK("https://grants.gov/search-results-detail/351689","LOME-FY2024-APS-0001")</f>
        <v>LOME-FY2024-APS-0001</v>
      </c>
      <c r="B346" s="6" t="s">
        <v>2012</v>
      </c>
      <c r="C346" s="6" t="s">
        <v>2013</v>
      </c>
      <c r="D346" s="6" t="s">
        <v>2014</v>
      </c>
      <c r="E346" s="7">
        <v>45504</v>
      </c>
      <c r="F346" s="8">
        <v>25000</v>
      </c>
      <c r="G346" s="8">
        <v>2000</v>
      </c>
      <c r="H346" s="6">
        <v>10</v>
      </c>
      <c r="I346" s="6" t="s">
        <v>2015</v>
      </c>
      <c r="J346" s="6" t="s">
        <v>2016</v>
      </c>
    </row>
    <row r="347" spans="1:10" ht="409.5" x14ac:dyDescent="0.25">
      <c r="A347" s="6" t="str">
        <f>HYPERLINK("https://grants.gov/search-results-detail/351051","BKK-2024-NOFO-01")</f>
        <v>BKK-2024-NOFO-01</v>
      </c>
      <c r="B347" s="6" t="s">
        <v>2107</v>
      </c>
      <c r="C347" s="6" t="s">
        <v>2108</v>
      </c>
      <c r="D347" s="6" t="s">
        <v>2109</v>
      </c>
      <c r="E347" s="7">
        <v>45476</v>
      </c>
      <c r="F347" s="8">
        <v>75000</v>
      </c>
      <c r="G347" s="8">
        <v>10000</v>
      </c>
      <c r="I347" s="6" t="s">
        <v>2110</v>
      </c>
      <c r="J347" s="6" t="s">
        <v>2111</v>
      </c>
    </row>
    <row r="348" spans="1:10" ht="409.5" x14ac:dyDescent="0.25">
      <c r="A348" s="6" t="str">
        <f>HYPERLINK("https://grants.gov/search-results-detail/353815","STI40024CA0001")</f>
        <v>STI40024CA0001</v>
      </c>
      <c r="B348" s="6" t="s">
        <v>170</v>
      </c>
      <c r="C348" s="6" t="s">
        <v>171</v>
      </c>
      <c r="D348" s="6" t="s">
        <v>172</v>
      </c>
      <c r="E348" s="7">
        <v>45473</v>
      </c>
      <c r="F348" s="8">
        <v>50000</v>
      </c>
      <c r="G348" s="8">
        <v>24000</v>
      </c>
      <c r="H348" s="6">
        <v>6</v>
      </c>
      <c r="I348" s="6" t="s">
        <v>173</v>
      </c>
      <c r="J348" s="6" t="s">
        <v>174</v>
      </c>
    </row>
    <row r="349" spans="1:10" ht="409.5" x14ac:dyDescent="0.25">
      <c r="A349" s="6" t="str">
        <f>HYPERLINK("https://grants.gov/search-results-detail/352997","PDS-ASHGABAT-AW-FY24-005")</f>
        <v>PDS-ASHGABAT-AW-FY24-005</v>
      </c>
      <c r="B349" s="6" t="s">
        <v>1587</v>
      </c>
      <c r="C349" s="6" t="s">
        <v>1419</v>
      </c>
      <c r="D349" s="6" t="s">
        <v>1420</v>
      </c>
      <c r="E349" s="7">
        <v>45427</v>
      </c>
      <c r="F349" s="8">
        <v>100000</v>
      </c>
      <c r="G349" s="8">
        <v>10000</v>
      </c>
      <c r="I349" s="6" t="s">
        <v>1588</v>
      </c>
      <c r="J349" s="6" t="s">
        <v>1589</v>
      </c>
    </row>
    <row r="350" spans="1:10" ht="409.5" x14ac:dyDescent="0.25">
      <c r="A350" s="6" t="str">
        <f>HYPERLINK("https://grants.gov/search-results-detail/353067","PDS-ASHGABAT-CA-FY24-006")</f>
        <v>PDS-ASHGABAT-CA-FY24-006</v>
      </c>
      <c r="B350" s="6" t="s">
        <v>1418</v>
      </c>
      <c r="C350" s="6" t="s">
        <v>1419</v>
      </c>
      <c r="D350" s="6" t="s">
        <v>1420</v>
      </c>
      <c r="E350" s="7">
        <v>45432</v>
      </c>
      <c r="F350" s="8">
        <v>250000</v>
      </c>
      <c r="G350" s="8">
        <v>200000</v>
      </c>
      <c r="I350" s="6" t="s">
        <v>1421</v>
      </c>
      <c r="J350" s="6" t="s">
        <v>1422</v>
      </c>
    </row>
    <row r="351" spans="1:10" ht="409.5" x14ac:dyDescent="0.25">
      <c r="A351" s="6" t="str">
        <f>HYPERLINK("https://grants.gov/search-results-detail/315555","STX-100-TM-19-GR001")</f>
        <v>STX-100-TM-19-GR001</v>
      </c>
      <c r="B351" s="6" t="s">
        <v>2754</v>
      </c>
      <c r="C351" s="6" t="s">
        <v>1419</v>
      </c>
      <c r="D351" s="6" t="s">
        <v>1420</v>
      </c>
      <c r="F351" s="8">
        <v>20000</v>
      </c>
      <c r="G351" s="8">
        <v>3000</v>
      </c>
      <c r="H351" s="6">
        <v>10</v>
      </c>
      <c r="I351" s="6" t="s">
        <v>2801</v>
      </c>
      <c r="J351" s="6" t="s">
        <v>2802</v>
      </c>
    </row>
    <row r="352" spans="1:10" ht="315" x14ac:dyDescent="0.25">
      <c r="A352" s="6" t="str">
        <f>HYPERLINK("https://grants.gov/search-results-detail/351164","DOS-PDS-FY24-01")</f>
        <v>DOS-PDS-FY24-01</v>
      </c>
      <c r="B352" s="6" t="s">
        <v>2085</v>
      </c>
      <c r="C352" s="6" t="s">
        <v>2086</v>
      </c>
      <c r="D352" s="6" t="s">
        <v>2087</v>
      </c>
      <c r="E352" s="7">
        <v>45427</v>
      </c>
      <c r="F352" s="8">
        <v>40000</v>
      </c>
      <c r="G352" s="8">
        <v>5000</v>
      </c>
      <c r="H352" s="6">
        <v>30</v>
      </c>
      <c r="I352" s="6" t="s">
        <v>2088</v>
      </c>
      <c r="J352" s="6" t="s">
        <v>2089</v>
      </c>
    </row>
    <row r="353" spans="1:10" ht="409.5" x14ac:dyDescent="0.25">
      <c r="A353" s="6" t="str">
        <f>HYPERLINK("https://grants.gov/search-results-detail/352973","PAS-UKRAINE-FY24-04")</f>
        <v>PAS-UKRAINE-FY24-04</v>
      </c>
      <c r="B353" s="6" t="s">
        <v>1599</v>
      </c>
      <c r="C353" s="6" t="s">
        <v>1600</v>
      </c>
      <c r="D353" s="6" t="s">
        <v>1601</v>
      </c>
      <c r="E353" s="7">
        <v>45445</v>
      </c>
      <c r="F353" s="8">
        <v>50000</v>
      </c>
      <c r="G353" s="8">
        <v>25000</v>
      </c>
      <c r="H353" s="6">
        <v>8</v>
      </c>
      <c r="I353" s="6" t="s">
        <v>1602</v>
      </c>
      <c r="J353" s="6" t="s">
        <v>1603</v>
      </c>
    </row>
    <row r="354" spans="1:10" ht="409.5" x14ac:dyDescent="0.25">
      <c r="A354" s="6" t="str">
        <f>HYPERLINK("https://grants.gov/search-results-detail/352431","PAS-UKRAINE-FY24-03")</f>
        <v>PAS-UKRAINE-FY24-03</v>
      </c>
      <c r="B354" s="6" t="s">
        <v>1876</v>
      </c>
      <c r="C354" s="6" t="s">
        <v>1600</v>
      </c>
      <c r="D354" s="6" t="s">
        <v>1601</v>
      </c>
      <c r="E354" s="7">
        <v>45504</v>
      </c>
      <c r="F354" s="8">
        <v>10000</v>
      </c>
      <c r="G354" s="8">
        <v>1000</v>
      </c>
      <c r="H354" s="6">
        <v>10</v>
      </c>
      <c r="I354" s="6" t="s">
        <v>1877</v>
      </c>
      <c r="J354" s="6" t="s">
        <v>1878</v>
      </c>
    </row>
    <row r="355" spans="1:10" ht="409.5" x14ac:dyDescent="0.25">
      <c r="A355" s="6" t="str">
        <f>HYPERLINK("https://grants.gov/search-results-detail/344437","GVA-SGP-2023-002")</f>
        <v>GVA-SGP-2023-002</v>
      </c>
      <c r="B355" s="6" t="s">
        <v>2431</v>
      </c>
      <c r="C355" s="6" t="s">
        <v>2432</v>
      </c>
      <c r="D355" s="6" t="s">
        <v>2433</v>
      </c>
      <c r="F355" s="8">
        <v>100000</v>
      </c>
      <c r="G355" s="8">
        <v>1000</v>
      </c>
      <c r="I355" s="6" t="s">
        <v>2434</v>
      </c>
      <c r="J355" s="6" t="s">
        <v>2435</v>
      </c>
    </row>
    <row r="356" spans="1:10" ht="409.5" x14ac:dyDescent="0.25">
      <c r="A356" s="6" t="str">
        <f>HYPERLINK("https://grants.gov/search-results-detail/326733","GVA-SGP-2020-001")</f>
        <v>GVA-SGP-2020-001</v>
      </c>
      <c r="B356" s="6" t="s">
        <v>2754</v>
      </c>
      <c r="C356" s="6" t="s">
        <v>2432</v>
      </c>
      <c r="D356" s="6" t="s">
        <v>2433</v>
      </c>
      <c r="F356" s="8">
        <v>15000</v>
      </c>
      <c r="G356" s="8">
        <v>5000</v>
      </c>
      <c r="H356" s="6">
        <v>5</v>
      </c>
      <c r="I356" s="6" t="s">
        <v>2755</v>
      </c>
      <c r="J356" s="6" t="s">
        <v>2756</v>
      </c>
    </row>
    <row r="357" spans="1:10" ht="409.5" x14ac:dyDescent="0.25">
      <c r="A357" s="6" t="str">
        <f>HYPERLINK("https://grants.gov/search-results-detail/353881","TASHKENT-PDS-FY24-009")</f>
        <v>TASHKENT-PDS-FY24-009</v>
      </c>
      <c r="B357" s="6" t="s">
        <v>0</v>
      </c>
      <c r="C357" s="6" t="s">
        <v>1</v>
      </c>
      <c r="D357" s="6" t="s">
        <v>2</v>
      </c>
      <c r="E357" s="7">
        <v>45458</v>
      </c>
      <c r="F357" s="8">
        <v>500000</v>
      </c>
      <c r="G357" s="8">
        <v>50000</v>
      </c>
      <c r="H357" s="6">
        <v>2</v>
      </c>
      <c r="I357" s="6" t="s">
        <v>3</v>
      </c>
      <c r="J357" s="6" t="s">
        <v>4</v>
      </c>
    </row>
    <row r="358" spans="1:10" ht="409.5" x14ac:dyDescent="0.25">
      <c r="A358" s="6" t="str">
        <f>HYPERLINK("https://grants.gov/search-results-detail/353011","TASHKENT-PDS-FY24-007")</f>
        <v>TASHKENT-PDS-FY24-007</v>
      </c>
      <c r="B358" s="6" t="s">
        <v>1540</v>
      </c>
      <c r="C358" s="6" t="s">
        <v>1</v>
      </c>
      <c r="D358" s="6" t="s">
        <v>2</v>
      </c>
      <c r="E358" s="7">
        <v>45461</v>
      </c>
      <c r="F358" s="8">
        <v>50000</v>
      </c>
      <c r="G358" s="8">
        <v>10000</v>
      </c>
      <c r="H358" s="6">
        <v>10</v>
      </c>
      <c r="I358" s="6" t="s">
        <v>1541</v>
      </c>
      <c r="J358" s="6" t="s">
        <v>1542</v>
      </c>
    </row>
    <row r="359" spans="1:10" ht="409.5" x14ac:dyDescent="0.25">
      <c r="A359" s="6" t="str">
        <f>HYPERLINK("https://grants.gov/search-results-detail/39841","FAA-COE-JAMS")</f>
        <v>FAA-COE-JAMS</v>
      </c>
      <c r="B359" s="6" t="s">
        <v>2138</v>
      </c>
      <c r="C359" s="6" t="s">
        <v>2139</v>
      </c>
      <c r="D359" s="6" t="s">
        <v>2140</v>
      </c>
      <c r="F359" s="8">
        <v>20000000</v>
      </c>
      <c r="G359" s="8">
        <v>0</v>
      </c>
      <c r="I359" s="6" t="s">
        <v>2141</v>
      </c>
      <c r="J359" s="6" t="s">
        <v>2142</v>
      </c>
    </row>
    <row r="360" spans="1:10" ht="409.5" x14ac:dyDescent="0.25">
      <c r="A360" s="6" t="str">
        <f>HYPERLINK("https://grants.gov/search-results-detail/353397","693JJ324NF00013")</f>
        <v>693JJ324NF00013</v>
      </c>
      <c r="B360" s="6" t="s">
        <v>889</v>
      </c>
      <c r="C360" s="6" t="s">
        <v>453</v>
      </c>
      <c r="D360" s="6" t="s">
        <v>454</v>
      </c>
      <c r="E360" s="7">
        <v>45432</v>
      </c>
      <c r="F360" s="8">
        <v>5000000</v>
      </c>
      <c r="G360" s="8">
        <v>400000</v>
      </c>
      <c r="H360" s="6">
        <v>1</v>
      </c>
      <c r="I360" s="6" t="s">
        <v>890</v>
      </c>
      <c r="J360" s="6" t="s">
        <v>891</v>
      </c>
    </row>
    <row r="361" spans="1:10" ht="409.5" x14ac:dyDescent="0.25">
      <c r="A361" s="6" t="str">
        <f>HYPERLINK("https://grants.gov/search-results-detail/353222","693JJ324NF00014")</f>
        <v>693JJ324NF00014</v>
      </c>
      <c r="B361" s="6" t="s">
        <v>1218</v>
      </c>
      <c r="C361" s="6" t="s">
        <v>453</v>
      </c>
      <c r="D361" s="6" t="s">
        <v>454</v>
      </c>
      <c r="E361" s="7">
        <v>45439</v>
      </c>
      <c r="F361" s="8">
        <v>3000000</v>
      </c>
      <c r="G361" s="8">
        <v>0</v>
      </c>
      <c r="H361" s="6">
        <v>15</v>
      </c>
      <c r="I361" s="6" t="s">
        <v>1219</v>
      </c>
      <c r="J361" s="6" t="s">
        <v>1220</v>
      </c>
    </row>
    <row r="362" spans="1:10" ht="409.5" x14ac:dyDescent="0.25">
      <c r="A362" s="6" t="str">
        <f>HYPERLINK("https://grants.gov/search-results-detail/352713","693JJ324NF00007")</f>
        <v>693JJ324NF00007</v>
      </c>
      <c r="B362" s="6" t="s">
        <v>1565</v>
      </c>
      <c r="C362" s="6" t="s">
        <v>453</v>
      </c>
      <c r="D362" s="6" t="s">
        <v>454</v>
      </c>
      <c r="E362" s="7">
        <v>45442</v>
      </c>
      <c r="F362" s="8">
        <v>500000</v>
      </c>
      <c r="G362" s="8">
        <v>0</v>
      </c>
      <c r="I362" s="6" t="s">
        <v>1566</v>
      </c>
      <c r="J362" s="6" t="s">
        <v>1567</v>
      </c>
    </row>
    <row r="363" spans="1:10" ht="409.5" x14ac:dyDescent="0.25">
      <c r="A363" s="6" t="str">
        <f>HYPERLINK("https://grants.gov/search-results-detail/353650","693JJ324NF00008")</f>
        <v>693JJ324NF00008</v>
      </c>
      <c r="B363" s="6" t="s">
        <v>452</v>
      </c>
      <c r="C363" s="6" t="s">
        <v>453</v>
      </c>
      <c r="D363" s="6" t="s">
        <v>454</v>
      </c>
      <c r="E363" s="7">
        <v>45448</v>
      </c>
      <c r="F363" s="8">
        <v>250000</v>
      </c>
      <c r="G363" s="8">
        <v>250000</v>
      </c>
      <c r="I363" s="6" t="s">
        <v>96</v>
      </c>
      <c r="J363" s="6" t="s">
        <v>455</v>
      </c>
    </row>
    <row r="364" spans="1:10" ht="409.5" x14ac:dyDescent="0.25">
      <c r="A364" s="6" t="str">
        <f>HYPERLINK("https://grants.gov/search-results-detail/353577","693JJ324NF00019")</f>
        <v>693JJ324NF00019</v>
      </c>
      <c r="B364" s="6" t="s">
        <v>563</v>
      </c>
      <c r="C364" s="6" t="s">
        <v>453</v>
      </c>
      <c r="D364" s="6" t="s">
        <v>454</v>
      </c>
      <c r="E364" s="7">
        <v>45460</v>
      </c>
      <c r="F364" s="8">
        <v>300000</v>
      </c>
      <c r="G364" s="8">
        <v>0</v>
      </c>
      <c r="H364" s="6">
        <v>14</v>
      </c>
      <c r="I364" s="6" t="s">
        <v>564</v>
      </c>
      <c r="J364" s="6" t="s">
        <v>565</v>
      </c>
    </row>
    <row r="365" spans="1:10" ht="409.5" x14ac:dyDescent="0.25">
      <c r="A365" s="6" t="str">
        <f>HYPERLINK("https://grants.gov/search-results-detail/353043","693JJ324NF00012")</f>
        <v>693JJ324NF00012</v>
      </c>
      <c r="B365" s="6" t="s">
        <v>1485</v>
      </c>
      <c r="C365" s="6" t="s">
        <v>453</v>
      </c>
      <c r="D365" s="6" t="s">
        <v>454</v>
      </c>
      <c r="E365" s="7">
        <v>45460</v>
      </c>
      <c r="F365" s="8">
        <v>15000000</v>
      </c>
      <c r="G365" s="8">
        <v>100000</v>
      </c>
      <c r="I365" s="6" t="s">
        <v>1486</v>
      </c>
      <c r="J365" s="6" t="s">
        <v>1487</v>
      </c>
    </row>
    <row r="366" spans="1:10" ht="409.5" x14ac:dyDescent="0.25">
      <c r="A366" s="6" t="str">
        <f>HYPERLINK("https://grants.gov/search-results-detail/353446","693JJ324NF00015")</f>
        <v>693JJ324NF00015</v>
      </c>
      <c r="B366" s="6" t="s">
        <v>844</v>
      </c>
      <c r="C366" s="6" t="s">
        <v>453</v>
      </c>
      <c r="D366" s="6" t="s">
        <v>454</v>
      </c>
      <c r="E366" s="7">
        <v>45461</v>
      </c>
      <c r="F366" s="8">
        <v>150000</v>
      </c>
      <c r="G366" s="8">
        <v>0</v>
      </c>
      <c r="I366" s="6" t="s">
        <v>845</v>
      </c>
      <c r="J366" s="6" t="s">
        <v>846</v>
      </c>
    </row>
    <row r="367" spans="1:10" ht="300" x14ac:dyDescent="0.25">
      <c r="A367" s="6" t="str">
        <f>HYPERLINK("https://grants.gov/search-results-detail/350332","693JJ323NF00019")</f>
        <v>693JJ323NF00019</v>
      </c>
      <c r="B367" s="6" t="s">
        <v>2174</v>
      </c>
      <c r="C367" s="6" t="s">
        <v>453</v>
      </c>
      <c r="D367" s="6" t="s">
        <v>454</v>
      </c>
      <c r="E367" s="7">
        <v>45505</v>
      </c>
      <c r="F367" s="8">
        <v>3000000000</v>
      </c>
      <c r="G367" s="8">
        <v>50000000</v>
      </c>
      <c r="H367" s="6">
        <v>50</v>
      </c>
      <c r="I367" s="6" t="s">
        <v>2175</v>
      </c>
      <c r="J367" s="6" t="s">
        <v>2176</v>
      </c>
    </row>
    <row r="368" spans="1:10" ht="409.5" x14ac:dyDescent="0.25">
      <c r="A368" s="6" t="str">
        <f>HYPERLINK("https://grants.gov/search-results-detail/353341","FR-CRS-24-001")</f>
        <v>FR-CRS-24-001</v>
      </c>
      <c r="B368" s="6" t="s">
        <v>1046</v>
      </c>
      <c r="C368" s="6" t="s">
        <v>1047</v>
      </c>
      <c r="D368" s="6" t="s">
        <v>1048</v>
      </c>
      <c r="E368" s="7">
        <v>45440</v>
      </c>
      <c r="F368" s="8">
        <v>2385440210</v>
      </c>
      <c r="G368" s="8">
        <v>0</v>
      </c>
      <c r="H368" s="6">
        <v>150</v>
      </c>
      <c r="I368" s="6" t="s">
        <v>1049</v>
      </c>
      <c r="J368" s="6" t="s">
        <v>1050</v>
      </c>
    </row>
    <row r="369" spans="1:10" ht="255" x14ac:dyDescent="0.25">
      <c r="A369" s="6" t="str">
        <f>HYPERLINK("https://grants.gov/search-results-detail/353586","FTA-2024-007-TPM-PASSFERRY")</f>
        <v>FTA-2024-007-TPM-PASSFERRY</v>
      </c>
      <c r="B369" s="6" t="s">
        <v>542</v>
      </c>
      <c r="C369" s="6" t="s">
        <v>543</v>
      </c>
      <c r="D369" s="6" t="s">
        <v>544</v>
      </c>
      <c r="E369" s="7">
        <v>45460</v>
      </c>
      <c r="F369" s="8">
        <v>51000000</v>
      </c>
      <c r="G369" s="8" t="s">
        <v>18</v>
      </c>
      <c r="H369" s="6">
        <v>25</v>
      </c>
      <c r="I369" s="6" t="s">
        <v>545</v>
      </c>
      <c r="J369" s="6" t="s">
        <v>546</v>
      </c>
    </row>
    <row r="370" spans="1:10" ht="210" x14ac:dyDescent="0.25">
      <c r="A370" s="6" t="str">
        <f>HYPERLINK("https://grants.gov/search-results-detail/353588","FTA-2024-008-TPM-FERRYPILOT")</f>
        <v>FTA-2024-008-TPM-FERRYPILOT</v>
      </c>
      <c r="B370" s="6" t="s">
        <v>547</v>
      </c>
      <c r="C370" s="6" t="s">
        <v>543</v>
      </c>
      <c r="D370" s="6" t="s">
        <v>544</v>
      </c>
      <c r="E370" s="7">
        <v>45460</v>
      </c>
      <c r="F370" s="8">
        <v>49000000</v>
      </c>
      <c r="G370" s="8" t="s">
        <v>18</v>
      </c>
      <c r="H370" s="6">
        <v>15</v>
      </c>
      <c r="I370" s="6" t="s">
        <v>548</v>
      </c>
      <c r="J370" s="6" t="s">
        <v>549</v>
      </c>
    </row>
    <row r="371" spans="1:10" ht="135" x14ac:dyDescent="0.25">
      <c r="A371" s="6" t="str">
        <f>HYPERLINK("https://grants.gov/search-results-detail/353591","FTA-2024-009-TPM-RURALFERRY")</f>
        <v>FTA-2024-009-TPM-RURALFERRY</v>
      </c>
      <c r="B371" s="6" t="s">
        <v>550</v>
      </c>
      <c r="C371" s="6" t="s">
        <v>543</v>
      </c>
      <c r="D371" s="6" t="s">
        <v>544</v>
      </c>
      <c r="E371" s="7">
        <v>45460</v>
      </c>
      <c r="F371" s="8">
        <v>216000000</v>
      </c>
      <c r="G371" s="8" t="s">
        <v>18</v>
      </c>
      <c r="H371" s="6">
        <v>6</v>
      </c>
      <c r="I371" s="6" t="s">
        <v>551</v>
      </c>
      <c r="J371" s="6" t="s">
        <v>552</v>
      </c>
    </row>
    <row r="372" spans="1:10" ht="195" x14ac:dyDescent="0.25">
      <c r="A372" s="6" t="str">
        <f>HYPERLINK("https://grants.gov/search-results-detail/353036","693JK324NF0003")</f>
        <v>693JK324NF0003</v>
      </c>
      <c r="B372" s="6" t="s">
        <v>1527</v>
      </c>
      <c r="C372" s="6" t="s">
        <v>1528</v>
      </c>
      <c r="D372" s="6" t="s">
        <v>1529</v>
      </c>
      <c r="E372" s="7">
        <v>45429</v>
      </c>
      <c r="F372" s="8">
        <v>1000000</v>
      </c>
      <c r="G372" s="8">
        <v>250000</v>
      </c>
      <c r="H372" s="6">
        <v>4</v>
      </c>
      <c r="I372" s="6" t="s">
        <v>338</v>
      </c>
      <c r="J372" s="6" t="s">
        <v>1530</v>
      </c>
    </row>
    <row r="373" spans="1:10" ht="409.5" x14ac:dyDescent="0.25">
      <c r="A373" s="6" t="str">
        <f>HYPERLINK("https://grants.gov/search-results-detail/352985","ED-GRANTS-031924-001")</f>
        <v>ED-GRANTS-031924-001</v>
      </c>
      <c r="B373" s="6" t="s">
        <v>1465</v>
      </c>
      <c r="C373" s="6" t="s">
        <v>245</v>
      </c>
      <c r="D373" s="6" t="s">
        <v>246</v>
      </c>
      <c r="E373" s="7">
        <v>45427</v>
      </c>
      <c r="F373" s="8">
        <v>1500000</v>
      </c>
      <c r="G373" s="8" t="s">
        <v>18</v>
      </c>
      <c r="H373" s="6">
        <v>1</v>
      </c>
      <c r="I373" s="6" t="s">
        <v>1466</v>
      </c>
      <c r="J373" s="6" t="s">
        <v>1467</v>
      </c>
    </row>
    <row r="374" spans="1:10" ht="409.5" x14ac:dyDescent="0.25">
      <c r="A374" s="6" t="str">
        <f>HYPERLINK("https://grants.gov/search-results-detail/353040","ED-GRANTS-032124-001")</f>
        <v>ED-GRANTS-032124-001</v>
      </c>
      <c r="B374" s="6" t="s">
        <v>1392</v>
      </c>
      <c r="C374" s="6" t="s">
        <v>245</v>
      </c>
      <c r="D374" s="6" t="s">
        <v>246</v>
      </c>
      <c r="E374" s="7">
        <v>45432</v>
      </c>
      <c r="F374" s="8">
        <v>6250000</v>
      </c>
      <c r="G374" s="8" t="s">
        <v>18</v>
      </c>
      <c r="H374" s="6">
        <v>1</v>
      </c>
      <c r="I374" s="6" t="s">
        <v>1393</v>
      </c>
      <c r="J374" s="6" t="s">
        <v>1394</v>
      </c>
    </row>
    <row r="375" spans="1:10" ht="409.5" x14ac:dyDescent="0.25">
      <c r="A375" s="6" t="str">
        <f>HYPERLINK("https://grants.gov/search-results-detail/352813","ED-GRANTS-030824-003")</f>
        <v>ED-GRANTS-030824-003</v>
      </c>
      <c r="B375" s="6" t="s">
        <v>1694</v>
      </c>
      <c r="C375" s="6" t="s">
        <v>245</v>
      </c>
      <c r="D375" s="6" t="s">
        <v>246</v>
      </c>
      <c r="E375" s="7">
        <v>45434</v>
      </c>
      <c r="F375" s="8">
        <v>4000000</v>
      </c>
      <c r="G375" s="8" t="s">
        <v>18</v>
      </c>
      <c r="H375" s="6">
        <v>6</v>
      </c>
      <c r="I375" s="6" t="s">
        <v>1695</v>
      </c>
      <c r="J375" s="6" t="s">
        <v>1696</v>
      </c>
    </row>
    <row r="376" spans="1:10" ht="409.5" x14ac:dyDescent="0.25">
      <c r="A376" s="6" t="str">
        <f>HYPERLINK("https://grants.gov/search-results-detail/352677","ED-GRANTS-030124-002")</f>
        <v>ED-GRANTS-030124-002</v>
      </c>
      <c r="B376" s="6" t="s">
        <v>1748</v>
      </c>
      <c r="C376" s="6" t="s">
        <v>245</v>
      </c>
      <c r="D376" s="6" t="s">
        <v>246</v>
      </c>
      <c r="E376" s="7">
        <v>45443</v>
      </c>
      <c r="F376" s="8" t="s">
        <v>18</v>
      </c>
      <c r="G376" s="8" t="s">
        <v>18</v>
      </c>
      <c r="H376" s="6">
        <v>25</v>
      </c>
      <c r="I376" s="6" t="s">
        <v>1749</v>
      </c>
      <c r="J376" s="6" t="s">
        <v>1750</v>
      </c>
    </row>
    <row r="377" spans="1:10" ht="409.5" x14ac:dyDescent="0.25">
      <c r="A377" s="6" t="str">
        <f>HYPERLINK("https://grants.gov/search-results-detail/352679","ED-GRANTS-030124-003")</f>
        <v>ED-GRANTS-030124-003</v>
      </c>
      <c r="B377" s="6" t="s">
        <v>1751</v>
      </c>
      <c r="C377" s="6" t="s">
        <v>245</v>
      </c>
      <c r="D377" s="6" t="s">
        <v>246</v>
      </c>
      <c r="E377" s="7">
        <v>45443</v>
      </c>
      <c r="F377" s="8">
        <v>1000000</v>
      </c>
      <c r="G377" s="8" t="s">
        <v>18</v>
      </c>
      <c r="H377" s="6">
        <v>33</v>
      </c>
      <c r="I377" s="6" t="s">
        <v>1752</v>
      </c>
      <c r="J377" s="6" t="s">
        <v>1753</v>
      </c>
    </row>
    <row r="378" spans="1:10" ht="409.5" x14ac:dyDescent="0.25">
      <c r="A378" s="6" t="str">
        <f>HYPERLINK("https://grants.gov/search-results-detail/353333","ED-GRANTS-040424-001")</f>
        <v>ED-GRANTS-040424-001</v>
      </c>
      <c r="B378" s="6" t="s">
        <v>923</v>
      </c>
      <c r="C378" s="6" t="s">
        <v>245</v>
      </c>
      <c r="D378" s="6" t="s">
        <v>246</v>
      </c>
      <c r="E378" s="7">
        <v>45446</v>
      </c>
      <c r="F378" s="8">
        <v>2000000</v>
      </c>
      <c r="G378" s="8" t="s">
        <v>18</v>
      </c>
      <c r="H378" s="6">
        <v>17</v>
      </c>
      <c r="I378" s="6" t="s">
        <v>924</v>
      </c>
      <c r="J378" s="6" t="s">
        <v>925</v>
      </c>
    </row>
    <row r="379" spans="1:10" ht="409.5" x14ac:dyDescent="0.25">
      <c r="A379" s="6" t="str">
        <f>HYPERLINK("https://grants.gov/search-results-detail/353726","ED-GRANTS-042424-006")</f>
        <v>ED-GRANTS-042424-006</v>
      </c>
      <c r="B379" s="6" t="s">
        <v>268</v>
      </c>
      <c r="C379" s="6" t="s">
        <v>245</v>
      </c>
      <c r="D379" s="6" t="s">
        <v>246</v>
      </c>
      <c r="E379" s="7">
        <v>45456</v>
      </c>
      <c r="F379" s="8" t="s">
        <v>18</v>
      </c>
      <c r="G379" s="8" t="s">
        <v>18</v>
      </c>
      <c r="H379" s="6">
        <v>6</v>
      </c>
      <c r="I379" s="6" t="s">
        <v>269</v>
      </c>
      <c r="J379" s="6" t="s">
        <v>270</v>
      </c>
    </row>
    <row r="380" spans="1:10" ht="409.5" x14ac:dyDescent="0.25">
      <c r="A380" s="6" t="str">
        <f>HYPERLINK("https://grants.gov/search-results-detail/353344","ED-GRANTS-040424-002")</f>
        <v>ED-GRANTS-040424-002</v>
      </c>
      <c r="B380" s="6" t="s">
        <v>912</v>
      </c>
      <c r="C380" s="6" t="s">
        <v>245</v>
      </c>
      <c r="D380" s="6" t="s">
        <v>246</v>
      </c>
      <c r="E380" s="7">
        <v>45461</v>
      </c>
      <c r="F380" s="8" t="s">
        <v>18</v>
      </c>
      <c r="G380" s="8" t="s">
        <v>18</v>
      </c>
      <c r="H380" s="6">
        <v>27</v>
      </c>
      <c r="I380" s="6" t="s">
        <v>913</v>
      </c>
      <c r="J380" s="6" t="s">
        <v>914</v>
      </c>
    </row>
    <row r="381" spans="1:10" ht="409.5" x14ac:dyDescent="0.25">
      <c r="A381" s="6" t="str">
        <f>HYPERLINK("https://grants.gov/search-results-detail/353712","ED-GRANTS-042424-004")</f>
        <v>ED-GRANTS-042424-004</v>
      </c>
      <c r="B381" s="6" t="s">
        <v>244</v>
      </c>
      <c r="C381" s="6" t="s">
        <v>245</v>
      </c>
      <c r="D381" s="6" t="s">
        <v>246</v>
      </c>
      <c r="E381" s="7">
        <v>45467</v>
      </c>
      <c r="F381" s="8">
        <v>2000000</v>
      </c>
      <c r="G381" s="8" t="s">
        <v>18</v>
      </c>
      <c r="H381" s="6">
        <v>14</v>
      </c>
      <c r="I381" s="6" t="s">
        <v>247</v>
      </c>
      <c r="J381" s="6" t="s">
        <v>248</v>
      </c>
    </row>
    <row r="382" spans="1:10" ht="409.5" x14ac:dyDescent="0.25">
      <c r="A382" s="6" t="str">
        <f>HYPERLINK("https://grants.gov/search-results-detail/353694","ED-GRANTS-042424-003")</f>
        <v>ED-GRANTS-042424-003</v>
      </c>
      <c r="B382" s="6" t="s">
        <v>260</v>
      </c>
      <c r="C382" s="6" t="s">
        <v>245</v>
      </c>
      <c r="D382" s="6" t="s">
        <v>246</v>
      </c>
      <c r="E382" s="7">
        <v>45467</v>
      </c>
      <c r="F382" s="8">
        <v>750000</v>
      </c>
      <c r="G382" s="8">
        <v>100000</v>
      </c>
      <c r="H382" s="6">
        <v>60</v>
      </c>
      <c r="I382" s="6" t="s">
        <v>261</v>
      </c>
      <c r="J382" s="6" t="s">
        <v>262</v>
      </c>
    </row>
    <row r="383" spans="1:10" ht="409.5" x14ac:dyDescent="0.25">
      <c r="A383" s="6" t="str">
        <f>HYPERLINK("https://grants.gov/search-results-detail/353717","ED-GRANTS-042424-005")</f>
        <v>ED-GRANTS-042424-005</v>
      </c>
      <c r="B383" s="6" t="s">
        <v>276</v>
      </c>
      <c r="C383" s="6" t="s">
        <v>245</v>
      </c>
      <c r="D383" s="6" t="s">
        <v>246</v>
      </c>
      <c r="E383" s="7">
        <v>45467</v>
      </c>
      <c r="F383" s="8">
        <v>2000000</v>
      </c>
      <c r="G383" s="8" t="s">
        <v>18</v>
      </c>
      <c r="H383" s="6">
        <v>14</v>
      </c>
      <c r="I383" s="6" t="s">
        <v>247</v>
      </c>
      <c r="J383" s="6" t="s">
        <v>277</v>
      </c>
    </row>
    <row r="384" spans="1:10" ht="409.5" x14ac:dyDescent="0.25">
      <c r="A384" s="6" t="str">
        <f>HYPERLINK("https://grants.gov/search-results-detail/353618","ED-GRANTS-042324-001")</f>
        <v>ED-GRANTS-042324-001</v>
      </c>
      <c r="B384" s="6" t="s">
        <v>357</v>
      </c>
      <c r="C384" s="6" t="s">
        <v>245</v>
      </c>
      <c r="D384" s="6" t="s">
        <v>246</v>
      </c>
      <c r="E384" s="7">
        <v>45467</v>
      </c>
      <c r="F384" s="8" t="s">
        <v>18</v>
      </c>
      <c r="G384" s="8" t="s">
        <v>18</v>
      </c>
      <c r="H384" s="6">
        <v>20</v>
      </c>
      <c r="I384" s="6" t="s">
        <v>358</v>
      </c>
      <c r="J384" s="6" t="s">
        <v>359</v>
      </c>
    </row>
    <row r="385" spans="1:10" ht="409.5" x14ac:dyDescent="0.25">
      <c r="A385" s="6" t="str">
        <f>HYPERLINK("https://grants.gov/search-results-detail/353411","ED-GRANTS-040924-001")</f>
        <v>ED-GRANTS-040924-001</v>
      </c>
      <c r="B385" s="6" t="s">
        <v>774</v>
      </c>
      <c r="C385" s="6" t="s">
        <v>245</v>
      </c>
      <c r="D385" s="6" t="s">
        <v>246</v>
      </c>
      <c r="E385" s="7">
        <v>45481</v>
      </c>
      <c r="F385" s="8" t="s">
        <v>18</v>
      </c>
      <c r="G385" s="8" t="s">
        <v>18</v>
      </c>
      <c r="H385" s="6">
        <v>29</v>
      </c>
      <c r="I385" s="6" t="s">
        <v>775</v>
      </c>
      <c r="J385" s="6" t="s">
        <v>776</v>
      </c>
    </row>
    <row r="386" spans="1:10" ht="409.5" x14ac:dyDescent="0.25">
      <c r="A386" s="6" t="str">
        <f>HYPERLINK("https://grants.gov/search-results-detail/353731","ED-GRANTS-042424-007")</f>
        <v>ED-GRANTS-042424-007</v>
      </c>
      <c r="B386" s="6" t="s">
        <v>257</v>
      </c>
      <c r="C386" s="6" t="s">
        <v>245</v>
      </c>
      <c r="D386" s="6" t="s">
        <v>246</v>
      </c>
      <c r="E386" s="7">
        <v>45496</v>
      </c>
      <c r="F386" s="8" t="s">
        <v>18</v>
      </c>
      <c r="G386" s="8" t="s">
        <v>18</v>
      </c>
      <c r="H386" s="6">
        <v>4</v>
      </c>
      <c r="I386" s="6" t="s">
        <v>258</v>
      </c>
      <c r="J386" s="6" t="s">
        <v>259</v>
      </c>
    </row>
    <row r="387" spans="1:10" ht="409.5" x14ac:dyDescent="0.25">
      <c r="A387" s="6" t="str">
        <f>HYPERLINK("https://grants.gov/search-results-detail/335739","ED-GRANTS-092021-001")</f>
        <v>ED-GRANTS-092021-001</v>
      </c>
      <c r="B387" s="6" t="s">
        <v>2605</v>
      </c>
      <c r="C387" s="6" t="s">
        <v>245</v>
      </c>
      <c r="D387" s="6" t="s">
        <v>246</v>
      </c>
      <c r="F387" s="8" t="s">
        <v>18</v>
      </c>
      <c r="G387" s="8" t="s">
        <v>18</v>
      </c>
      <c r="H387" s="6">
        <v>13</v>
      </c>
      <c r="I387" s="6" t="s">
        <v>2606</v>
      </c>
      <c r="J387" s="6" t="s">
        <v>2607</v>
      </c>
    </row>
    <row r="388" spans="1:10" ht="409.5" x14ac:dyDescent="0.25">
      <c r="A388" s="6" t="str">
        <f>HYPERLINK("https://grants.gov/search-results-detail/49325","ED-GRANTS-072909-002")</f>
        <v>ED-GRANTS-072909-002</v>
      </c>
      <c r="B388" s="6" t="s">
        <v>3038</v>
      </c>
      <c r="C388" s="6" t="s">
        <v>245</v>
      </c>
      <c r="D388" s="6" t="s">
        <v>246</v>
      </c>
      <c r="F388" s="8" t="s">
        <v>18</v>
      </c>
      <c r="G388" s="8" t="s">
        <v>18</v>
      </c>
      <c r="I388" s="6" t="s">
        <v>3039</v>
      </c>
      <c r="J388" s="6" t="s">
        <v>3040</v>
      </c>
    </row>
    <row r="389" spans="1:10" ht="409.5" x14ac:dyDescent="0.25">
      <c r="A389" s="6" t="str">
        <f>HYPERLINK("https://grants.gov/search-results-detail/352464","EPA-G2024-ORD-A1")</f>
        <v>EPA-G2024-ORD-A1</v>
      </c>
      <c r="B389" s="6" t="s">
        <v>1826</v>
      </c>
      <c r="C389" s="6" t="s">
        <v>144</v>
      </c>
      <c r="D389" s="6" t="s">
        <v>145</v>
      </c>
      <c r="E389" s="7">
        <v>45427</v>
      </c>
      <c r="F389" s="8">
        <v>800000</v>
      </c>
      <c r="G389" s="8" t="s">
        <v>18</v>
      </c>
      <c r="H389" s="6">
        <v>1</v>
      </c>
      <c r="I389" s="6" t="s">
        <v>1827</v>
      </c>
      <c r="J389" s="6" t="s">
        <v>1828</v>
      </c>
    </row>
    <row r="390" spans="1:10" ht="315" x14ac:dyDescent="0.25">
      <c r="A390" s="6" t="str">
        <f>HYPERLINK("https://grants.gov/search-results-detail/353061","EPA-R10-OW-CRBRP-2024-01")</f>
        <v>EPA-R10-OW-CRBRP-2024-01</v>
      </c>
      <c r="B390" s="6" t="s">
        <v>1457</v>
      </c>
      <c r="C390" s="6" t="s">
        <v>144</v>
      </c>
      <c r="D390" s="6" t="s">
        <v>145</v>
      </c>
      <c r="E390" s="7">
        <v>45429</v>
      </c>
      <c r="F390" s="8">
        <v>3000000</v>
      </c>
      <c r="G390" s="8">
        <v>300000</v>
      </c>
      <c r="H390" s="6">
        <v>7</v>
      </c>
      <c r="I390" s="6" t="s">
        <v>830</v>
      </c>
      <c r="J390" s="6" t="s">
        <v>1458</v>
      </c>
    </row>
    <row r="391" spans="1:10" ht="375" x14ac:dyDescent="0.25">
      <c r="A391" s="6" t="str">
        <f>HYPERLINK("https://grants.gov/search-results-detail/353024","EPA-I-HQ-OCSPP-OPPT-FY2024-002")</f>
        <v>EPA-I-HQ-OCSPP-OPPT-FY2024-002</v>
      </c>
      <c r="B391" s="6" t="s">
        <v>1536</v>
      </c>
      <c r="C391" s="6" t="s">
        <v>144</v>
      </c>
      <c r="D391" s="6" t="s">
        <v>145</v>
      </c>
      <c r="E391" s="7">
        <v>45429</v>
      </c>
      <c r="F391" s="8">
        <v>350000</v>
      </c>
      <c r="G391" s="8" t="s">
        <v>18</v>
      </c>
      <c r="H391" s="6">
        <v>50</v>
      </c>
      <c r="I391" s="6" t="s">
        <v>146</v>
      </c>
      <c r="J391" s="6" t="s">
        <v>1537</v>
      </c>
    </row>
    <row r="392" spans="1:10" ht="330" x14ac:dyDescent="0.25">
      <c r="A392" s="6" t="str">
        <f>HYPERLINK("https://grants.gov/search-results-detail/353022","EPA-HQ-OCSPP-OPPT-FY2024-001")</f>
        <v>EPA-HQ-OCSPP-OPPT-FY2024-001</v>
      </c>
      <c r="B392" s="6" t="s">
        <v>1538</v>
      </c>
      <c r="C392" s="6" t="s">
        <v>144</v>
      </c>
      <c r="D392" s="6" t="s">
        <v>145</v>
      </c>
      <c r="E392" s="7">
        <v>45429</v>
      </c>
      <c r="F392" s="8">
        <v>700000</v>
      </c>
      <c r="G392" s="8" t="s">
        <v>18</v>
      </c>
      <c r="H392" s="6">
        <v>25</v>
      </c>
      <c r="I392" s="6" t="s">
        <v>146</v>
      </c>
      <c r="J392" s="6" t="s">
        <v>1539</v>
      </c>
    </row>
    <row r="393" spans="1:10" ht="240" x14ac:dyDescent="0.25">
      <c r="A393" s="6" t="str">
        <f>HYPERLINK("https://grants.gov/search-results-detail/353216","EPA-OMS-24-01")</f>
        <v>EPA-OMS-24-01</v>
      </c>
      <c r="B393" s="6" t="s">
        <v>1224</v>
      </c>
      <c r="C393" s="6" t="s">
        <v>144</v>
      </c>
      <c r="D393" s="6" t="s">
        <v>145</v>
      </c>
      <c r="E393" s="7">
        <v>45435</v>
      </c>
      <c r="F393" s="8">
        <v>500000</v>
      </c>
      <c r="G393" s="8" t="s">
        <v>18</v>
      </c>
      <c r="H393" s="6">
        <v>35</v>
      </c>
      <c r="I393" s="6" t="s">
        <v>146</v>
      </c>
      <c r="J393" s="6" t="s">
        <v>1225</v>
      </c>
    </row>
    <row r="394" spans="1:10" ht="405" x14ac:dyDescent="0.25">
      <c r="A394" s="6" t="str">
        <f>HYPERLINK("https://grants.gov/search-results-detail/352645","EPA-R-OAR-CPP-24-04")</f>
        <v>EPA-R-OAR-CPP-24-04</v>
      </c>
      <c r="B394" s="6" t="s">
        <v>1761</v>
      </c>
      <c r="C394" s="6" t="s">
        <v>144</v>
      </c>
      <c r="D394" s="6" t="s">
        <v>145</v>
      </c>
      <c r="E394" s="7">
        <v>45440</v>
      </c>
      <c r="F394" s="8">
        <v>500000000</v>
      </c>
      <c r="G394" s="8">
        <v>2000000</v>
      </c>
      <c r="H394" s="6">
        <v>90</v>
      </c>
      <c r="I394" s="6" t="s">
        <v>146</v>
      </c>
      <c r="J394" s="6" t="s">
        <v>1762</v>
      </c>
    </row>
    <row r="395" spans="1:10" ht="409.5" x14ac:dyDescent="0.25">
      <c r="A395" s="6" t="str">
        <f>HYPERLINK("https://grants.gov/search-results-detail/352646","EPA-R-OAR-CPP-24-05")</f>
        <v>EPA-R-OAR-CPP-24-05</v>
      </c>
      <c r="B395" s="6" t="s">
        <v>1763</v>
      </c>
      <c r="C395" s="6" t="s">
        <v>144</v>
      </c>
      <c r="D395" s="6" t="s">
        <v>145</v>
      </c>
      <c r="E395" s="7">
        <v>45440</v>
      </c>
      <c r="F395" s="8">
        <v>3000000</v>
      </c>
      <c r="G395" s="8">
        <v>200000</v>
      </c>
      <c r="H395" s="6">
        <v>70</v>
      </c>
      <c r="I395" s="6" t="s">
        <v>1764</v>
      </c>
      <c r="J395" s="6" t="s">
        <v>1765</v>
      </c>
    </row>
    <row r="396" spans="1:10" ht="240" x14ac:dyDescent="0.25">
      <c r="A396" s="6" t="str">
        <f>HYPERLINK("https://grants.gov/search-results-detail/353029","EPA-G2024-STAR-B1")</f>
        <v>EPA-G2024-STAR-B1</v>
      </c>
      <c r="B396" s="6" t="s">
        <v>1523</v>
      </c>
      <c r="C396" s="6" t="s">
        <v>144</v>
      </c>
      <c r="D396" s="6" t="s">
        <v>145</v>
      </c>
      <c r="E396" s="7">
        <v>45441</v>
      </c>
      <c r="F396" s="8">
        <v>1500000</v>
      </c>
      <c r="G396" s="8" t="s">
        <v>18</v>
      </c>
      <c r="H396" s="6">
        <v>4</v>
      </c>
      <c r="I396" s="6" t="s">
        <v>146</v>
      </c>
      <c r="J396" s="6" t="s">
        <v>1524</v>
      </c>
    </row>
    <row r="397" spans="1:10" ht="409.5" x14ac:dyDescent="0.25">
      <c r="A397" s="6" t="str">
        <f>HYPERLINK("https://grants.gov/search-results-detail/352728","EPA-I-R1-SNEP-2024A")</f>
        <v>EPA-I-R1-SNEP-2024A</v>
      </c>
      <c r="B397" s="6" t="s">
        <v>1741</v>
      </c>
      <c r="C397" s="6" t="s">
        <v>144</v>
      </c>
      <c r="D397" s="6" t="s">
        <v>145</v>
      </c>
      <c r="E397" s="7">
        <v>45450</v>
      </c>
      <c r="F397" s="8">
        <v>300000</v>
      </c>
      <c r="G397" s="8">
        <v>50000</v>
      </c>
      <c r="H397" s="6">
        <v>10</v>
      </c>
      <c r="I397" s="6" t="s">
        <v>830</v>
      </c>
      <c r="J397" s="6" t="s">
        <v>1742</v>
      </c>
    </row>
    <row r="398" spans="1:10" ht="270" x14ac:dyDescent="0.25">
      <c r="A398" s="6" t="str">
        <f>HYPERLINK("https://grants.gov/search-results-detail/353823","EPA-OW-OGWDW-24-02")</f>
        <v>EPA-OW-OGWDW-24-02</v>
      </c>
      <c r="B398" s="6" t="s">
        <v>143</v>
      </c>
      <c r="C398" s="6" t="s">
        <v>144</v>
      </c>
      <c r="D398" s="6" t="s">
        <v>145</v>
      </c>
      <c r="E398" s="7">
        <v>45453</v>
      </c>
      <c r="F398" s="8">
        <v>2100000</v>
      </c>
      <c r="G398" s="8" t="s">
        <v>18</v>
      </c>
      <c r="H398" s="6">
        <v>1</v>
      </c>
      <c r="I398" s="6" t="s">
        <v>146</v>
      </c>
      <c r="J398" s="6" t="s">
        <v>147</v>
      </c>
    </row>
    <row r="399" spans="1:10" ht="409.5" x14ac:dyDescent="0.25">
      <c r="A399" s="6" t="str">
        <f>HYPERLINK("https://grants.gov/search-results-detail/353559","EPA-REG2-LCRD-P2-2024-1")</f>
        <v>EPA-REG2-LCRD-P2-2024-1</v>
      </c>
      <c r="B399" s="6" t="s">
        <v>602</v>
      </c>
      <c r="C399" s="6" t="s">
        <v>144</v>
      </c>
      <c r="D399" s="6" t="s">
        <v>145</v>
      </c>
      <c r="E399" s="7">
        <v>45461</v>
      </c>
      <c r="F399" s="8">
        <v>242000</v>
      </c>
      <c r="G399" s="8" t="s">
        <v>18</v>
      </c>
      <c r="H399" s="6">
        <v>2</v>
      </c>
      <c r="I399" s="6" t="s">
        <v>146</v>
      </c>
      <c r="J399" s="6" t="s">
        <v>603</v>
      </c>
    </row>
    <row r="400" spans="1:10" ht="409.5" x14ac:dyDescent="0.25">
      <c r="A400" s="6" t="str">
        <f>HYPERLINK("https://grants.gov/search-results-detail/353438","EPA-G2024-STAR-D1")</f>
        <v>EPA-G2024-STAR-D1</v>
      </c>
      <c r="B400" s="6" t="s">
        <v>829</v>
      </c>
      <c r="C400" s="6" t="s">
        <v>144</v>
      </c>
      <c r="D400" s="6" t="s">
        <v>145</v>
      </c>
      <c r="E400" s="7">
        <v>45469</v>
      </c>
      <c r="F400" s="8">
        <v>1250000</v>
      </c>
      <c r="G400" s="8">
        <v>0</v>
      </c>
      <c r="H400" s="6">
        <v>8</v>
      </c>
      <c r="I400" s="6" t="s">
        <v>830</v>
      </c>
      <c r="J400" s="6" t="s">
        <v>831</v>
      </c>
    </row>
    <row r="401" spans="1:10" ht="360" x14ac:dyDescent="0.25">
      <c r="A401" s="6" t="str">
        <f>HYPERLINK("https://grants.gov/search-results-detail/353728","EPA-R-OAR-CHDV-24-06")</f>
        <v>EPA-R-OAR-CHDV-24-06</v>
      </c>
      <c r="B401" s="6" t="s">
        <v>238</v>
      </c>
      <c r="C401" s="6" t="s">
        <v>144</v>
      </c>
      <c r="D401" s="6" t="s">
        <v>145</v>
      </c>
      <c r="E401" s="7">
        <v>45498</v>
      </c>
      <c r="F401" s="8" t="s">
        <v>18</v>
      </c>
      <c r="G401" s="8" t="s">
        <v>18</v>
      </c>
      <c r="H401" s="6">
        <v>160</v>
      </c>
      <c r="I401" s="6" t="s">
        <v>146</v>
      </c>
      <c r="J401" s="6" t="s">
        <v>239</v>
      </c>
    </row>
    <row r="402" spans="1:10" ht="409.5" x14ac:dyDescent="0.25">
      <c r="A402" s="6" t="str">
        <f>HYPERLINK("https://grants.gov/search-results-detail/350187","HHS-2024-ACF-ANA-NB-0054")</f>
        <v>HHS-2024-ACF-ANA-NB-0054</v>
      </c>
      <c r="B402" s="6" t="s">
        <v>1488</v>
      </c>
      <c r="C402" s="6" t="s">
        <v>1489</v>
      </c>
      <c r="D402" s="6" t="s">
        <v>1490</v>
      </c>
      <c r="E402" s="7">
        <v>45434</v>
      </c>
      <c r="F402" s="8">
        <v>900000</v>
      </c>
      <c r="G402" s="8">
        <v>100000</v>
      </c>
      <c r="H402" s="6">
        <v>2</v>
      </c>
      <c r="I402" s="6" t="s">
        <v>1491</v>
      </c>
      <c r="J402" s="6" t="s">
        <v>1492</v>
      </c>
    </row>
    <row r="403" spans="1:10" ht="409.5" x14ac:dyDescent="0.25">
      <c r="A403" s="6" t="str">
        <f>HYPERLINK("https://grants.gov/search-results-detail/349742","HHS-2024-ACF-ANA-NL-0059")</f>
        <v>HHS-2024-ACF-ANA-NL-0059</v>
      </c>
      <c r="B403" s="6" t="s">
        <v>1493</v>
      </c>
      <c r="C403" s="6" t="s">
        <v>1489</v>
      </c>
      <c r="D403" s="6" t="s">
        <v>1490</v>
      </c>
      <c r="E403" s="7">
        <v>45434</v>
      </c>
      <c r="F403" s="8">
        <v>900000</v>
      </c>
      <c r="G403" s="8">
        <v>100000</v>
      </c>
      <c r="H403" s="6">
        <v>4</v>
      </c>
      <c r="I403" s="6" t="s">
        <v>1494</v>
      </c>
      <c r="J403" s="6" t="s">
        <v>1495</v>
      </c>
    </row>
    <row r="404" spans="1:10" ht="409.5" x14ac:dyDescent="0.25">
      <c r="A404" s="6" t="str">
        <f>HYPERLINK("https://grants.gov/search-results-detail/349761","HHS-2024-ACF-ANA-NA-0050")</f>
        <v>HHS-2024-ACF-ANA-NA-0050</v>
      </c>
      <c r="B404" s="6" t="s">
        <v>1496</v>
      </c>
      <c r="C404" s="6" t="s">
        <v>1489</v>
      </c>
      <c r="D404" s="6" t="s">
        <v>1490</v>
      </c>
      <c r="E404" s="7">
        <v>45434</v>
      </c>
      <c r="F404" s="8">
        <v>900000</v>
      </c>
      <c r="G404" s="8">
        <v>100000</v>
      </c>
      <c r="H404" s="6">
        <v>14</v>
      </c>
      <c r="I404" s="6" t="s">
        <v>1497</v>
      </c>
      <c r="J404" s="6" t="s">
        <v>1498</v>
      </c>
    </row>
    <row r="405" spans="1:10" ht="409.5" x14ac:dyDescent="0.25">
      <c r="A405" s="6" t="str">
        <f>HYPERLINK("https://grants.gov/search-results-detail/349762","HHS-2024-ACF-ANA-NK-0051")</f>
        <v>HHS-2024-ACF-ANA-NK-0051</v>
      </c>
      <c r="B405" s="6" t="s">
        <v>1499</v>
      </c>
      <c r="C405" s="6" t="s">
        <v>1489</v>
      </c>
      <c r="D405" s="6" t="s">
        <v>1490</v>
      </c>
      <c r="E405" s="7">
        <v>45434</v>
      </c>
      <c r="F405" s="8">
        <v>300000</v>
      </c>
      <c r="G405" s="8">
        <v>50000</v>
      </c>
      <c r="H405" s="6">
        <v>2</v>
      </c>
      <c r="I405" s="6" t="s">
        <v>1500</v>
      </c>
      <c r="J405" s="6" t="s">
        <v>1501</v>
      </c>
    </row>
    <row r="406" spans="1:10" ht="409.5" x14ac:dyDescent="0.25">
      <c r="A406" s="6" t="str">
        <f>HYPERLINK("https://grants.gov/search-results-detail/349763","HHS-2024-ACF-ANA-NR-0061")</f>
        <v>HHS-2024-ACF-ANA-NR-0061</v>
      </c>
      <c r="B406" s="6" t="s">
        <v>1502</v>
      </c>
      <c r="C406" s="6" t="s">
        <v>1489</v>
      </c>
      <c r="D406" s="6" t="s">
        <v>1490</v>
      </c>
      <c r="E406" s="7">
        <v>45434</v>
      </c>
      <c r="F406" s="8">
        <v>300000</v>
      </c>
      <c r="G406" s="8">
        <v>100000</v>
      </c>
      <c r="H406" s="6">
        <v>3</v>
      </c>
      <c r="I406" s="6" t="s">
        <v>1503</v>
      </c>
      <c r="J406" s="6" t="s">
        <v>1504</v>
      </c>
    </row>
    <row r="407" spans="1:10" ht="409.5" x14ac:dyDescent="0.25">
      <c r="A407" s="6" t="str">
        <f>HYPERLINK("https://grants.gov/search-results-detail/349737","HHS-2024-ACF-ACYF-CA-0022")</f>
        <v>HHS-2024-ACF-ACYF-CA-0022</v>
      </c>
      <c r="B407" s="6" t="s">
        <v>1072</v>
      </c>
      <c r="C407" s="6" t="s">
        <v>176</v>
      </c>
      <c r="D407" s="6" t="s">
        <v>177</v>
      </c>
      <c r="E407" s="7">
        <v>45443</v>
      </c>
      <c r="F407" s="8">
        <v>2500000</v>
      </c>
      <c r="G407" s="8">
        <v>2000000</v>
      </c>
      <c r="H407" s="6">
        <v>1</v>
      </c>
      <c r="I407" s="6" t="s">
        <v>1073</v>
      </c>
      <c r="J407" s="6" t="s">
        <v>1074</v>
      </c>
    </row>
    <row r="408" spans="1:10" ht="409.5" x14ac:dyDescent="0.25">
      <c r="A408" s="6" t="str">
        <f>HYPERLINK("https://grants.gov/search-results-detail/353409","HHS-2024-ACF-ACYF-CT-0056")</f>
        <v>HHS-2024-ACF-ACYF-CT-0056</v>
      </c>
      <c r="B408" s="6" t="s">
        <v>886</v>
      </c>
      <c r="C408" s="6" t="s">
        <v>176</v>
      </c>
      <c r="D408" s="6" t="s">
        <v>177</v>
      </c>
      <c r="E408" s="7">
        <v>45450</v>
      </c>
      <c r="F408" s="8">
        <v>500000</v>
      </c>
      <c r="G408" s="8">
        <v>450000</v>
      </c>
      <c r="H408" s="6">
        <v>6</v>
      </c>
      <c r="I408" s="6" t="s">
        <v>887</v>
      </c>
      <c r="J408" s="6" t="s">
        <v>888</v>
      </c>
    </row>
    <row r="409" spans="1:10" ht="409.5" x14ac:dyDescent="0.25">
      <c r="A409" s="6" t="str">
        <f>HYPERLINK("https://grants.gov/search-results-detail/349741","HHS-2024-ACF-ACYF-CZ-0052")</f>
        <v>HHS-2024-ACF-ACYF-CZ-0052</v>
      </c>
      <c r="B409" s="6" t="s">
        <v>175</v>
      </c>
      <c r="C409" s="6" t="s">
        <v>176</v>
      </c>
      <c r="D409" s="6" t="s">
        <v>177</v>
      </c>
      <c r="E409" s="7">
        <v>45474</v>
      </c>
      <c r="F409" s="8">
        <v>2000000</v>
      </c>
      <c r="G409" s="8">
        <v>1800000</v>
      </c>
      <c r="H409" s="6">
        <v>1</v>
      </c>
      <c r="I409" s="6" t="s">
        <v>178</v>
      </c>
      <c r="J409" s="6" t="s">
        <v>179</v>
      </c>
    </row>
    <row r="410" spans="1:10" ht="390" x14ac:dyDescent="0.25">
      <c r="A410" s="6" t="str">
        <f>HYPERLINK("https://grants.gov/search-results-detail/349731","HHS-2024-ACF-ACYF-CY-0058")</f>
        <v>HHS-2024-ACF-ACYF-CY-0058</v>
      </c>
      <c r="B410" s="6" t="s">
        <v>938</v>
      </c>
      <c r="C410" s="6" t="s">
        <v>311</v>
      </c>
      <c r="D410" s="6" t="s">
        <v>312</v>
      </c>
      <c r="E410" s="7">
        <v>45450</v>
      </c>
      <c r="F410" s="8">
        <v>350000</v>
      </c>
      <c r="G410" s="8">
        <v>250000</v>
      </c>
      <c r="H410" s="6">
        <v>5</v>
      </c>
      <c r="I410" s="6" t="s">
        <v>939</v>
      </c>
      <c r="J410" s="6" t="s">
        <v>940</v>
      </c>
    </row>
    <row r="411" spans="1:10" ht="390" x14ac:dyDescent="0.25">
      <c r="A411" s="6" t="str">
        <f>HYPERLINK("https://grants.gov/search-results-detail/349760","HHS-2024-ACF-ACYF-CY-0133")</f>
        <v>HHS-2024-ACF-ACYF-CY-0133</v>
      </c>
      <c r="B411" s="6" t="s">
        <v>941</v>
      </c>
      <c r="C411" s="6" t="s">
        <v>311</v>
      </c>
      <c r="D411" s="6" t="s">
        <v>312</v>
      </c>
      <c r="E411" s="7">
        <v>45450</v>
      </c>
      <c r="F411" s="8">
        <v>250000</v>
      </c>
      <c r="G411" s="8">
        <v>50000</v>
      </c>
      <c r="H411" s="6">
        <v>72</v>
      </c>
      <c r="I411" s="6" t="s">
        <v>942</v>
      </c>
      <c r="J411" s="6" t="s">
        <v>943</v>
      </c>
    </row>
    <row r="412" spans="1:10" ht="390" x14ac:dyDescent="0.25">
      <c r="A412" s="6" t="str">
        <f>HYPERLINK("https://grants.gov/search-results-detail/349749","HHS-2024-ACF-ACYF-YO-0047")</f>
        <v>HHS-2024-ACF-ACYF-YO-0047</v>
      </c>
      <c r="B412" s="6" t="s">
        <v>944</v>
      </c>
      <c r="C412" s="6" t="s">
        <v>311</v>
      </c>
      <c r="D412" s="6" t="s">
        <v>312</v>
      </c>
      <c r="E412" s="7">
        <v>45450</v>
      </c>
      <c r="F412" s="8">
        <v>150000</v>
      </c>
      <c r="G412" s="8">
        <v>90000</v>
      </c>
      <c r="H412" s="6">
        <v>45</v>
      </c>
      <c r="I412" s="6" t="s">
        <v>945</v>
      </c>
      <c r="J412" s="6" t="s">
        <v>946</v>
      </c>
    </row>
    <row r="413" spans="1:10" ht="405" x14ac:dyDescent="0.25">
      <c r="A413" s="6" t="str">
        <f>HYPERLINK("https://grants.gov/search-results-detail/350191","HHS-2024-ACF-ACYF-YZ-0042")</f>
        <v>HHS-2024-ACF-ACYF-YZ-0042</v>
      </c>
      <c r="B413" s="6" t="s">
        <v>947</v>
      </c>
      <c r="C413" s="6" t="s">
        <v>311</v>
      </c>
      <c r="D413" s="6" t="s">
        <v>312</v>
      </c>
      <c r="E413" s="7">
        <v>45450</v>
      </c>
      <c r="F413" s="8">
        <v>250000</v>
      </c>
      <c r="G413" s="8">
        <v>100000</v>
      </c>
      <c r="H413" s="6">
        <v>20</v>
      </c>
      <c r="I413" s="6" t="s">
        <v>948</v>
      </c>
      <c r="J413" s="6" t="s">
        <v>949</v>
      </c>
    </row>
    <row r="414" spans="1:10" ht="405" x14ac:dyDescent="0.25">
      <c r="A414" s="6" t="str">
        <f>HYPERLINK("https://grants.gov/search-results-detail/349754","HHS-2024-ACF-ACYF-CX-0192")</f>
        <v>HHS-2024-ACF-ACYF-CX-0192</v>
      </c>
      <c r="B414" s="6" t="s">
        <v>950</v>
      </c>
      <c r="C414" s="6" t="s">
        <v>311</v>
      </c>
      <c r="D414" s="6" t="s">
        <v>312</v>
      </c>
      <c r="E414" s="7">
        <v>45450</v>
      </c>
      <c r="F414" s="8">
        <v>250000</v>
      </c>
      <c r="G414" s="8">
        <v>100000</v>
      </c>
      <c r="H414" s="6">
        <v>68</v>
      </c>
      <c r="I414" s="6" t="s">
        <v>951</v>
      </c>
      <c r="J414" s="6" t="s">
        <v>952</v>
      </c>
    </row>
    <row r="415" spans="1:10" ht="375" x14ac:dyDescent="0.25">
      <c r="A415" s="6" t="str">
        <f>HYPERLINK("https://grants.gov/search-results-detail/349730","HHS-2024-ACF-ACYF-AK-0032")</f>
        <v>HHS-2024-ACF-ACYF-AK-0032</v>
      </c>
      <c r="B415" s="6" t="s">
        <v>310</v>
      </c>
      <c r="C415" s="6" t="s">
        <v>311</v>
      </c>
      <c r="D415" s="6" t="s">
        <v>312</v>
      </c>
      <c r="E415" s="7">
        <v>45467</v>
      </c>
      <c r="F415" s="8">
        <v>450000</v>
      </c>
      <c r="G415" s="8">
        <v>250000</v>
      </c>
      <c r="H415" s="6">
        <v>34</v>
      </c>
      <c r="I415" s="6" t="s">
        <v>313</v>
      </c>
      <c r="J415" s="6" t="s">
        <v>314</v>
      </c>
    </row>
    <row r="416" spans="1:10" ht="409.5" x14ac:dyDescent="0.25">
      <c r="A416" s="6" t="str">
        <f>HYPERLINK("https://grants.gov/search-results-detail/349734","HHS-2024-ACF-ACYF-SR-0041")</f>
        <v>HHS-2024-ACF-ACYF-SR-0041</v>
      </c>
      <c r="B416" s="6" t="s">
        <v>340</v>
      </c>
      <c r="C416" s="6" t="s">
        <v>311</v>
      </c>
      <c r="D416" s="6" t="s">
        <v>312</v>
      </c>
      <c r="E416" s="7">
        <v>45467</v>
      </c>
      <c r="F416" s="8">
        <v>450000</v>
      </c>
      <c r="G416" s="8">
        <v>300000</v>
      </c>
      <c r="H416" s="6">
        <v>30</v>
      </c>
      <c r="I416" s="6" t="s">
        <v>341</v>
      </c>
      <c r="J416" s="6" t="s">
        <v>342</v>
      </c>
    </row>
    <row r="417" spans="1:10" ht="409.5" x14ac:dyDescent="0.25">
      <c r="A417" s="6" t="str">
        <f>HYPERLINK("https://grants.gov/search-results-detail/352984","HHS-2024-ACF-OFVPS-EV-0039")</f>
        <v>HHS-2024-ACF-OFVPS-EV-0039</v>
      </c>
      <c r="B417" s="6" t="s">
        <v>677</v>
      </c>
      <c r="C417" s="6" t="s">
        <v>678</v>
      </c>
      <c r="D417" s="6" t="s">
        <v>679</v>
      </c>
      <c r="E417" s="7">
        <v>45455</v>
      </c>
      <c r="F417" s="8">
        <v>450000</v>
      </c>
      <c r="G417" s="8">
        <v>275000</v>
      </c>
      <c r="H417" s="6">
        <v>50</v>
      </c>
      <c r="I417" s="6" t="s">
        <v>680</v>
      </c>
      <c r="J417" s="6" t="s">
        <v>681</v>
      </c>
    </row>
    <row r="418" spans="1:10" ht="409.5" x14ac:dyDescent="0.25">
      <c r="A418" s="6" t="str">
        <f>HYPERLINK("https://grants.gov/search-results-detail/344227","HHS-2023-ACF-OPRE-YE-0154")</f>
        <v>HHS-2023-ACF-OPRE-YE-0154</v>
      </c>
      <c r="B418" s="6" t="s">
        <v>2366</v>
      </c>
      <c r="C418" s="6" t="s">
        <v>419</v>
      </c>
      <c r="D418" s="6" t="s">
        <v>420</v>
      </c>
      <c r="E418" s="7">
        <v>45428</v>
      </c>
      <c r="F418" s="8">
        <v>25000</v>
      </c>
      <c r="G418" s="8">
        <v>20000</v>
      </c>
      <c r="H418" s="6">
        <v>6</v>
      </c>
      <c r="I418" s="6" t="s">
        <v>2367</v>
      </c>
      <c r="J418" s="6" t="s">
        <v>2368</v>
      </c>
    </row>
    <row r="419" spans="1:10" ht="409.5" x14ac:dyDescent="0.25">
      <c r="A419" s="6" t="str">
        <f>HYPERLINK("https://grants.gov/search-results-detail/344228","HHS-2023-ACF-OPRE-YR-0153")</f>
        <v>HHS-2023-ACF-OPRE-YR-0153</v>
      </c>
      <c r="B419" s="6" t="s">
        <v>2363</v>
      </c>
      <c r="C419" s="6" t="s">
        <v>419</v>
      </c>
      <c r="D419" s="6" t="s">
        <v>420</v>
      </c>
      <c r="E419" s="7">
        <v>45429</v>
      </c>
      <c r="F419" s="8">
        <v>25000</v>
      </c>
      <c r="G419" s="8">
        <v>20000</v>
      </c>
      <c r="H419" s="6">
        <v>6</v>
      </c>
      <c r="I419" s="6" t="s">
        <v>2364</v>
      </c>
      <c r="J419" s="6" t="s">
        <v>2365</v>
      </c>
    </row>
    <row r="420" spans="1:10" ht="409.5" x14ac:dyDescent="0.25">
      <c r="A420" s="6" t="str">
        <f>HYPERLINK("https://grants.gov/search-results-detail/349840","HHS-2024-ACF-OPRE-YE-0195")</f>
        <v>HHS-2024-ACF-OPRE-YE-0195</v>
      </c>
      <c r="B420" s="6" t="s">
        <v>1381</v>
      </c>
      <c r="C420" s="6" t="s">
        <v>419</v>
      </c>
      <c r="D420" s="6" t="s">
        <v>420</v>
      </c>
      <c r="E420" s="7">
        <v>45432</v>
      </c>
      <c r="F420" s="8">
        <v>100000</v>
      </c>
      <c r="G420" s="8">
        <v>90000</v>
      </c>
      <c r="H420" s="6">
        <v>15</v>
      </c>
      <c r="I420" s="6" t="s">
        <v>1382</v>
      </c>
      <c r="J420" s="6" t="s">
        <v>1383</v>
      </c>
    </row>
    <row r="421" spans="1:10" ht="409.5" x14ac:dyDescent="0.25">
      <c r="A421" s="6" t="str">
        <f>HYPERLINK("https://grants.gov/search-results-detail/352487","HHS-2024-ACF-OPRE-PH-0128")</f>
        <v>HHS-2024-ACF-OPRE-PH-0128</v>
      </c>
      <c r="B421" s="6" t="s">
        <v>1083</v>
      </c>
      <c r="C421" s="6" t="s">
        <v>419</v>
      </c>
      <c r="D421" s="6" t="s">
        <v>420</v>
      </c>
      <c r="E421" s="7">
        <v>45443</v>
      </c>
      <c r="F421" s="8">
        <v>1500000</v>
      </c>
      <c r="G421" s="8">
        <v>1000000</v>
      </c>
      <c r="H421" s="6">
        <v>1</v>
      </c>
      <c r="I421" s="6" t="s">
        <v>1084</v>
      </c>
      <c r="J421" s="6" t="s">
        <v>1085</v>
      </c>
    </row>
    <row r="422" spans="1:10" ht="409.5" x14ac:dyDescent="0.25">
      <c r="A422" s="6" t="str">
        <f>HYPERLINK("https://grants.gov/search-results-detail/349743","HHS-2024-ACF-OPRE-PD-0126")</f>
        <v>HHS-2024-ACF-OPRE-PD-0126</v>
      </c>
      <c r="B422" s="6" t="s">
        <v>1146</v>
      </c>
      <c r="C422" s="6" t="s">
        <v>419</v>
      </c>
      <c r="D422" s="6" t="s">
        <v>420</v>
      </c>
      <c r="E422" s="7">
        <v>45450</v>
      </c>
      <c r="F422" s="8">
        <v>25000</v>
      </c>
      <c r="G422" s="8">
        <v>20000</v>
      </c>
      <c r="H422" s="6">
        <v>4</v>
      </c>
      <c r="I422" s="6" t="s">
        <v>1147</v>
      </c>
      <c r="J422" s="6" t="s">
        <v>1148</v>
      </c>
    </row>
    <row r="423" spans="1:10" ht="409.5" x14ac:dyDescent="0.25">
      <c r="A423" s="6" t="str">
        <f>HYPERLINK("https://grants.gov/search-results-detail/349758","HHS-2024-ACF-OPRE-PE-0045")</f>
        <v>HHS-2024-ACF-OPRE-PE-0045</v>
      </c>
      <c r="B423" s="6" t="s">
        <v>558</v>
      </c>
      <c r="C423" s="6" t="s">
        <v>419</v>
      </c>
      <c r="D423" s="6" t="s">
        <v>420</v>
      </c>
      <c r="E423" s="7">
        <v>45461</v>
      </c>
      <c r="F423" s="8">
        <v>200000</v>
      </c>
      <c r="G423" s="8">
        <v>100000</v>
      </c>
      <c r="H423" s="6">
        <v>5</v>
      </c>
      <c r="I423" s="6" t="s">
        <v>559</v>
      </c>
      <c r="J423" s="6" t="s">
        <v>560</v>
      </c>
    </row>
    <row r="424" spans="1:10" ht="135" x14ac:dyDescent="0.25">
      <c r="A424" s="6" t="str">
        <f>HYPERLINK("https://grants.gov/search-results-detail/353617","PREA-XP-24-003")</f>
        <v>PREA-XP-24-003</v>
      </c>
      <c r="B424" s="6" t="s">
        <v>418</v>
      </c>
      <c r="C424" s="6" t="s">
        <v>419</v>
      </c>
      <c r="D424" s="6" t="s">
        <v>420</v>
      </c>
      <c r="E424" s="7">
        <v>45471</v>
      </c>
      <c r="F424" s="8">
        <v>2000000</v>
      </c>
      <c r="G424" s="8">
        <v>10000</v>
      </c>
      <c r="H424" s="6">
        <v>72</v>
      </c>
      <c r="I424" s="6" t="s">
        <v>421</v>
      </c>
      <c r="J424" s="6" t="s">
        <v>422</v>
      </c>
    </row>
    <row r="425" spans="1:10" ht="375" x14ac:dyDescent="0.25">
      <c r="A425" s="6" t="str">
        <f>HYPERLINK("https://grants.gov/search-results-detail/349736","HHS-2024-ACF-ORR-RG-0023")</f>
        <v>HHS-2024-ACF-ORR-RG-0023</v>
      </c>
      <c r="B425" s="6" t="s">
        <v>431</v>
      </c>
      <c r="C425" s="6" t="s">
        <v>432</v>
      </c>
      <c r="D425" s="6" t="s">
        <v>433</v>
      </c>
      <c r="E425" s="7">
        <v>45471</v>
      </c>
      <c r="F425" s="8">
        <v>250000</v>
      </c>
      <c r="G425" s="8">
        <v>175000</v>
      </c>
      <c r="H425" s="6">
        <v>8</v>
      </c>
      <c r="I425" s="6" t="s">
        <v>434</v>
      </c>
      <c r="J425" s="6" t="s">
        <v>435</v>
      </c>
    </row>
    <row r="426" spans="1:10" ht="409.5" x14ac:dyDescent="0.25">
      <c r="A426" s="6" t="str">
        <f>HYPERLINK("https://grants.gov/search-results-detail/349715","HHS-2024-ACF-ORR-ZM-0020")</f>
        <v>HHS-2024-ACF-ORR-ZM-0020</v>
      </c>
      <c r="B426" s="6" t="s">
        <v>440</v>
      </c>
      <c r="C426" s="6" t="s">
        <v>432</v>
      </c>
      <c r="D426" s="6" t="s">
        <v>433</v>
      </c>
      <c r="E426" s="7">
        <v>45471</v>
      </c>
      <c r="F426" s="8">
        <v>325000</v>
      </c>
      <c r="G426" s="8">
        <v>250000</v>
      </c>
      <c r="H426" s="6">
        <v>15</v>
      </c>
      <c r="I426" s="6" t="s">
        <v>441</v>
      </c>
      <c r="J426" s="6" t="s">
        <v>442</v>
      </c>
    </row>
    <row r="427" spans="1:10" ht="330" x14ac:dyDescent="0.25">
      <c r="A427" s="6" t="str">
        <f>HYPERLINK("https://grants.gov/search-results-detail/349713","HHS-2024-ACL-AOA-PCRP-0015")</f>
        <v>HHS-2024-ACL-AOA-PCRP-0015</v>
      </c>
      <c r="B427" s="6" t="s">
        <v>1440</v>
      </c>
      <c r="C427" s="6" t="s">
        <v>519</v>
      </c>
      <c r="D427" s="6" t="s">
        <v>520</v>
      </c>
      <c r="E427" s="7">
        <v>45432</v>
      </c>
      <c r="F427" s="8">
        <v>200000</v>
      </c>
      <c r="G427" s="8">
        <v>175000</v>
      </c>
      <c r="H427" s="6">
        <v>6</v>
      </c>
      <c r="I427" s="6" t="s">
        <v>636</v>
      </c>
      <c r="J427" s="6" t="s">
        <v>1441</v>
      </c>
    </row>
    <row r="428" spans="1:10" ht="300" x14ac:dyDescent="0.25">
      <c r="A428" s="6" t="str">
        <f>HYPERLINK("https://grants.gov/search-results-detail/349388","HHS-2024-ACL-NIDILRR-RTEM-0084")</f>
        <v>HHS-2024-ACL-NIDILRR-RTEM-0084</v>
      </c>
      <c r="B428" s="6" t="s">
        <v>1273</v>
      </c>
      <c r="C428" s="6" t="s">
        <v>519</v>
      </c>
      <c r="D428" s="6" t="s">
        <v>520</v>
      </c>
      <c r="E428" s="7">
        <v>45436</v>
      </c>
      <c r="F428" s="8">
        <v>875000</v>
      </c>
      <c r="G428" s="8">
        <v>850000</v>
      </c>
      <c r="H428" s="6">
        <v>1</v>
      </c>
      <c r="I428" s="6" t="s">
        <v>1274</v>
      </c>
      <c r="J428" s="6" t="s">
        <v>1275</v>
      </c>
    </row>
    <row r="429" spans="1:10" ht="315" x14ac:dyDescent="0.25">
      <c r="A429" s="6" t="str">
        <f>HYPERLINK("https://grants.gov/search-results-detail/349386","HHS-2024-ACL-NIDILRR-RTEM-0085")</f>
        <v>HHS-2024-ACL-NIDILRR-RTEM-0085</v>
      </c>
      <c r="B429" s="6" t="s">
        <v>1276</v>
      </c>
      <c r="C429" s="6" t="s">
        <v>519</v>
      </c>
      <c r="D429" s="6" t="s">
        <v>520</v>
      </c>
      <c r="E429" s="7">
        <v>45436</v>
      </c>
      <c r="F429" s="8">
        <v>875000</v>
      </c>
      <c r="G429" s="8">
        <v>850000</v>
      </c>
      <c r="H429" s="6">
        <v>1</v>
      </c>
      <c r="I429" s="6" t="s">
        <v>833</v>
      </c>
      <c r="J429" s="6" t="s">
        <v>1277</v>
      </c>
    </row>
    <row r="430" spans="1:10" ht="345" x14ac:dyDescent="0.25">
      <c r="A430" s="6" t="str">
        <f>HYPERLINK("https://grants.gov/search-results-detail/349345","HHS-2024-ACL-NIDILRR-DPHF-0086")</f>
        <v>HHS-2024-ACL-NIDILRR-DPHF-0086</v>
      </c>
      <c r="B430" s="6" t="s">
        <v>1281</v>
      </c>
      <c r="C430" s="6" t="s">
        <v>519</v>
      </c>
      <c r="D430" s="6" t="s">
        <v>520</v>
      </c>
      <c r="E430" s="7">
        <v>45436</v>
      </c>
      <c r="F430" s="8">
        <v>500000</v>
      </c>
      <c r="G430" s="8">
        <v>495000</v>
      </c>
      <c r="H430" s="6">
        <v>1</v>
      </c>
      <c r="I430" s="6" t="s">
        <v>1282</v>
      </c>
      <c r="J430" s="6" t="s">
        <v>1283</v>
      </c>
    </row>
    <row r="431" spans="1:10" ht="270" x14ac:dyDescent="0.25">
      <c r="A431" s="6" t="str">
        <f>HYPERLINK("https://grants.gov/search-results-detail/349446","HHS-2024-ACL-AOA-CSSG-0018")</f>
        <v>HHS-2024-ACL-AOA-CSSG-0018</v>
      </c>
      <c r="B431" s="6" t="s">
        <v>1061</v>
      </c>
      <c r="C431" s="6" t="s">
        <v>519</v>
      </c>
      <c r="D431" s="6" t="s">
        <v>520</v>
      </c>
      <c r="E431" s="7">
        <v>45443</v>
      </c>
      <c r="F431" s="8">
        <v>3260699</v>
      </c>
      <c r="G431" s="8">
        <v>2000000</v>
      </c>
      <c r="H431" s="6">
        <v>1</v>
      </c>
      <c r="I431" s="6" t="s">
        <v>1062</v>
      </c>
      <c r="J431" s="6" t="s">
        <v>1063</v>
      </c>
    </row>
    <row r="432" spans="1:10" ht="255" x14ac:dyDescent="0.25">
      <c r="A432" s="6" t="str">
        <f>HYPERLINK("https://grants.gov/search-results-detail/349475","HHS-2024-ACL-AOA-ABRC-0030")</f>
        <v>HHS-2024-ACL-AOA-ABRC-0030</v>
      </c>
      <c r="B432" s="6" t="s">
        <v>1056</v>
      </c>
      <c r="C432" s="6" t="s">
        <v>519</v>
      </c>
      <c r="D432" s="6" t="s">
        <v>520</v>
      </c>
      <c r="E432" s="7">
        <v>45446</v>
      </c>
      <c r="F432" s="8">
        <v>1000000</v>
      </c>
      <c r="G432" s="8">
        <v>850000</v>
      </c>
      <c r="H432" s="6">
        <v>1</v>
      </c>
      <c r="I432" s="6" t="s">
        <v>540</v>
      </c>
      <c r="J432" s="6" t="s">
        <v>1057</v>
      </c>
    </row>
    <row r="433" spans="1:10" ht="409.5" x14ac:dyDescent="0.25">
      <c r="A433" s="6" t="str">
        <f>HYPERLINK("https://grants.gov/search-results-detail/349547","HHS-2024-ACL-AOA-PPUC-0122")</f>
        <v>HHS-2024-ACL-AOA-PPUC-0122</v>
      </c>
      <c r="B433" s="6" t="s">
        <v>861</v>
      </c>
      <c r="C433" s="6" t="s">
        <v>519</v>
      </c>
      <c r="D433" s="6" t="s">
        <v>520</v>
      </c>
      <c r="E433" s="7">
        <v>45448</v>
      </c>
      <c r="F433" s="8">
        <v>250000</v>
      </c>
      <c r="G433" s="8">
        <v>200000</v>
      </c>
      <c r="H433" s="6">
        <v>1</v>
      </c>
      <c r="I433" s="6" t="s">
        <v>862</v>
      </c>
      <c r="J433" s="6" t="s">
        <v>863</v>
      </c>
    </row>
    <row r="434" spans="1:10" ht="210" x14ac:dyDescent="0.25">
      <c r="A434" s="6" t="str">
        <f>HYPERLINK("https://grants.gov/search-results-detail/353298","HHS-2024-ACL-NIDILRR-DPGE-0084")</f>
        <v>HHS-2024-ACL-NIDILRR-DPGE-0084</v>
      </c>
      <c r="B434" s="6" t="s">
        <v>832</v>
      </c>
      <c r="C434" s="6" t="s">
        <v>519</v>
      </c>
      <c r="D434" s="6" t="s">
        <v>520</v>
      </c>
      <c r="E434" s="7">
        <v>45450</v>
      </c>
      <c r="F434" s="8">
        <v>600000</v>
      </c>
      <c r="G434" s="8">
        <v>595000</v>
      </c>
      <c r="H434" s="6">
        <v>1</v>
      </c>
      <c r="I434" s="6" t="s">
        <v>833</v>
      </c>
      <c r="J434" s="6" t="s">
        <v>834</v>
      </c>
    </row>
    <row r="435" spans="1:10" ht="409.5" x14ac:dyDescent="0.25">
      <c r="A435" s="6" t="str">
        <f>HYPERLINK("https://grants.gov/search-results-detail/349546","HHS-2024-ACL-AOA-CCDG-0032")</f>
        <v>HHS-2024-ACL-AOA-CCDG-0032</v>
      </c>
      <c r="B435" s="6" t="s">
        <v>817</v>
      </c>
      <c r="C435" s="6" t="s">
        <v>519</v>
      </c>
      <c r="D435" s="6" t="s">
        <v>520</v>
      </c>
      <c r="E435" s="7">
        <v>45451</v>
      </c>
      <c r="F435" s="8">
        <v>5430000</v>
      </c>
      <c r="G435" s="8">
        <v>3000000</v>
      </c>
      <c r="H435" s="6">
        <v>1</v>
      </c>
      <c r="I435" s="6" t="s">
        <v>818</v>
      </c>
      <c r="J435" s="6" t="s">
        <v>819</v>
      </c>
    </row>
    <row r="436" spans="1:10" ht="300" x14ac:dyDescent="0.25">
      <c r="A436" s="6" t="str">
        <f>HYPERLINK("https://grants.gov/search-results-detail/349393","HHS-2024-ACL-NIDILRR-RTGE-0068")</f>
        <v>HHS-2024-ACL-NIDILRR-RTGE-0068</v>
      </c>
      <c r="B436" s="6" t="s">
        <v>685</v>
      </c>
      <c r="C436" s="6" t="s">
        <v>519</v>
      </c>
      <c r="D436" s="6" t="s">
        <v>520</v>
      </c>
      <c r="E436" s="7">
        <v>45454</v>
      </c>
      <c r="F436" s="8">
        <v>875000</v>
      </c>
      <c r="G436" s="8">
        <v>850000</v>
      </c>
      <c r="H436" s="6">
        <v>1</v>
      </c>
      <c r="I436" s="6" t="s">
        <v>686</v>
      </c>
      <c r="J436" s="6" t="s">
        <v>687</v>
      </c>
    </row>
    <row r="437" spans="1:10" ht="409.5" x14ac:dyDescent="0.25">
      <c r="A437" s="6" t="str">
        <f>HYPERLINK("https://grants.gov/search-results-detail/349507","HHS-2024-ACL-AOA-ADPI-0029")</f>
        <v>HHS-2024-ACL-AOA-ADPI-0029</v>
      </c>
      <c r="B437" s="6" t="s">
        <v>702</v>
      </c>
      <c r="C437" s="6" t="s">
        <v>519</v>
      </c>
      <c r="D437" s="6" t="s">
        <v>520</v>
      </c>
      <c r="E437" s="7">
        <v>45454</v>
      </c>
      <c r="F437" s="8">
        <v>1000000</v>
      </c>
      <c r="G437" s="8">
        <v>850000</v>
      </c>
      <c r="H437" s="6">
        <v>49</v>
      </c>
      <c r="I437" s="6" t="s">
        <v>703</v>
      </c>
      <c r="J437" s="6" t="s">
        <v>704</v>
      </c>
    </row>
    <row r="438" spans="1:10" ht="195" x14ac:dyDescent="0.25">
      <c r="A438" s="6" t="str">
        <f>HYPERLINK("https://grants.gov/search-results-detail/353299","HHS-2024-ACL-NIDILRR-DPCP-0084")</f>
        <v>HHS-2024-ACL-NIDILRR-DPCP-0084</v>
      </c>
      <c r="B438" s="6" t="s">
        <v>518</v>
      </c>
      <c r="C438" s="6" t="s">
        <v>519</v>
      </c>
      <c r="D438" s="6" t="s">
        <v>520</v>
      </c>
      <c r="E438" s="7">
        <v>45460</v>
      </c>
      <c r="F438" s="8">
        <v>500000</v>
      </c>
      <c r="G438" s="8">
        <v>495000</v>
      </c>
      <c r="H438" s="6">
        <v>1</v>
      </c>
      <c r="I438" s="6" t="s">
        <v>521</v>
      </c>
      <c r="J438" s="6" t="s">
        <v>522</v>
      </c>
    </row>
    <row r="439" spans="1:10" ht="300" x14ac:dyDescent="0.25">
      <c r="A439" s="6" t="str">
        <f>HYPERLINK("https://grants.gov/search-results-detail/349392","HHS-2024-ACL-NIDILRR-RTHF-0083")</f>
        <v>HHS-2024-ACL-NIDILRR-RTHF-0083</v>
      </c>
      <c r="B439" s="6" t="s">
        <v>523</v>
      </c>
      <c r="C439" s="6" t="s">
        <v>519</v>
      </c>
      <c r="D439" s="6" t="s">
        <v>520</v>
      </c>
      <c r="E439" s="7">
        <v>45460</v>
      </c>
      <c r="F439" s="8">
        <v>875000</v>
      </c>
      <c r="G439" s="8">
        <v>850000</v>
      </c>
      <c r="H439" s="6">
        <v>1</v>
      </c>
      <c r="I439" s="6" t="s">
        <v>524</v>
      </c>
      <c r="J439" s="6" t="s">
        <v>525</v>
      </c>
    </row>
    <row r="440" spans="1:10" ht="315" x14ac:dyDescent="0.25">
      <c r="A440" s="6" t="str">
        <f>HYPERLINK("https://grants.gov/search-results-detail/349385","HHS-2024-ACL-NIDILRR-RTEM-0081")</f>
        <v>HHS-2024-ACL-NIDILRR-RTEM-0081</v>
      </c>
      <c r="B440" s="6" t="s">
        <v>531</v>
      </c>
      <c r="C440" s="6" t="s">
        <v>519</v>
      </c>
      <c r="D440" s="6" t="s">
        <v>520</v>
      </c>
      <c r="E440" s="7">
        <v>45460</v>
      </c>
      <c r="F440" s="8">
        <v>875000</v>
      </c>
      <c r="G440" s="8">
        <v>850000</v>
      </c>
      <c r="H440" s="6">
        <v>1</v>
      </c>
      <c r="I440" s="6" t="s">
        <v>524</v>
      </c>
      <c r="J440" s="6" t="s">
        <v>532</v>
      </c>
    </row>
    <row r="441" spans="1:10" ht="300" x14ac:dyDescent="0.25">
      <c r="A441" s="6" t="str">
        <f>HYPERLINK("https://grants.gov/search-results-detail/349387","HHS-2024-ACL-NIDILRR-RTEM-0082")</f>
        <v>HHS-2024-ACL-NIDILRR-RTEM-0082</v>
      </c>
      <c r="B441" s="6" t="s">
        <v>536</v>
      </c>
      <c r="C441" s="6" t="s">
        <v>519</v>
      </c>
      <c r="D441" s="6" t="s">
        <v>520</v>
      </c>
      <c r="E441" s="7">
        <v>45460</v>
      </c>
      <c r="F441" s="8">
        <v>875000</v>
      </c>
      <c r="G441" s="8">
        <v>850000</v>
      </c>
      <c r="H441" s="6">
        <v>1</v>
      </c>
      <c r="I441" s="6" t="s">
        <v>537</v>
      </c>
      <c r="J441" s="6" t="s">
        <v>538</v>
      </c>
    </row>
    <row r="442" spans="1:10" ht="165" x14ac:dyDescent="0.25">
      <c r="A442" s="6" t="str">
        <f>HYPERLINK("https://grants.gov/search-results-detail/353502","HHS-2024-ACL-AOA-EJIG-0038")</f>
        <v>HHS-2024-ACL-AOA-EJIG-0038</v>
      </c>
      <c r="B442" s="6" t="s">
        <v>539</v>
      </c>
      <c r="C442" s="6" t="s">
        <v>519</v>
      </c>
      <c r="D442" s="6" t="s">
        <v>520</v>
      </c>
      <c r="E442" s="7">
        <v>45461</v>
      </c>
      <c r="F442" s="8">
        <v>1200000</v>
      </c>
      <c r="G442" s="8">
        <v>750000</v>
      </c>
      <c r="H442" s="6">
        <v>1</v>
      </c>
      <c r="I442" s="6" t="s">
        <v>540</v>
      </c>
      <c r="J442" s="6" t="s">
        <v>541</v>
      </c>
    </row>
    <row r="443" spans="1:10" ht="150" x14ac:dyDescent="0.25">
      <c r="A443" s="6" t="str">
        <f>HYPERLINK("https://grants.gov/search-results-detail/349712","HHS-2024-ACL-AOA-EJIG-0011")</f>
        <v>HHS-2024-ACL-AOA-EJIG-0011</v>
      </c>
      <c r="B443" s="6" t="s">
        <v>635</v>
      </c>
      <c r="C443" s="6" t="s">
        <v>519</v>
      </c>
      <c r="D443" s="6" t="s">
        <v>520</v>
      </c>
      <c r="E443" s="7">
        <v>45461</v>
      </c>
      <c r="F443" s="8">
        <v>500000</v>
      </c>
      <c r="G443" s="8">
        <v>350000</v>
      </c>
      <c r="H443" s="6">
        <v>5</v>
      </c>
      <c r="I443" s="6" t="s">
        <v>636</v>
      </c>
      <c r="J443" s="6" t="s">
        <v>637</v>
      </c>
    </row>
    <row r="444" spans="1:10" ht="300" x14ac:dyDescent="0.25">
      <c r="A444" s="6" t="str">
        <f>HYPERLINK("https://grants.gov/search-results-detail/334653","PA-21-267")</f>
        <v>PA-21-267</v>
      </c>
      <c r="B444" s="6" t="s">
        <v>2623</v>
      </c>
      <c r="C444" s="6" t="s">
        <v>2624</v>
      </c>
      <c r="D444" s="6" t="s">
        <v>2625</v>
      </c>
      <c r="E444" s="7">
        <v>45438</v>
      </c>
      <c r="F444" s="8" t="s">
        <v>18</v>
      </c>
      <c r="G444" s="8" t="s">
        <v>18</v>
      </c>
      <c r="I444" s="6" t="s">
        <v>2626</v>
      </c>
      <c r="J444" s="6" t="s">
        <v>2627</v>
      </c>
    </row>
    <row r="445" spans="1:10" ht="300" x14ac:dyDescent="0.25">
      <c r="A445" s="6" t="str">
        <f>HYPERLINK("https://grants.gov/search-results-detail/331398","PA-21-164")</f>
        <v>PA-21-164</v>
      </c>
      <c r="B445" s="6" t="s">
        <v>2693</v>
      </c>
      <c r="C445" s="6" t="s">
        <v>2624</v>
      </c>
      <c r="D445" s="6" t="s">
        <v>2625</v>
      </c>
      <c r="E445" s="7">
        <v>45490</v>
      </c>
      <c r="F445" s="8" t="s">
        <v>18</v>
      </c>
      <c r="G445" s="8" t="s">
        <v>18</v>
      </c>
      <c r="I445" s="6" t="s">
        <v>2694</v>
      </c>
      <c r="J445" s="6" t="s">
        <v>2695</v>
      </c>
    </row>
    <row r="446" spans="1:10" ht="195" x14ac:dyDescent="0.25">
      <c r="A446" s="6" t="str">
        <f>HYPERLINK("https://grants.gov/search-results-detail/352723","CDC-RFA-TO-23-0001-02SUPP24")</f>
        <v>CDC-RFA-TO-23-0001-02SUPP24</v>
      </c>
      <c r="B446" s="6" t="s">
        <v>630</v>
      </c>
      <c r="C446" s="6" t="s">
        <v>631</v>
      </c>
      <c r="D446" s="6" t="s">
        <v>632</v>
      </c>
      <c r="E446" s="7">
        <v>45448</v>
      </c>
      <c r="F446" s="8">
        <v>0</v>
      </c>
      <c r="G446" s="8">
        <v>0</v>
      </c>
      <c r="H446" s="6">
        <v>26</v>
      </c>
      <c r="I446" s="6" t="s">
        <v>633</v>
      </c>
      <c r="J446" s="6" t="s">
        <v>634</v>
      </c>
    </row>
    <row r="447" spans="1:10" ht="210" x14ac:dyDescent="0.25">
      <c r="A447" s="6" t="str">
        <f>HYPERLINK("https://grants.gov/search-results-detail/353429","CDC-RFA-JG-24-0134")</f>
        <v>CDC-RFA-JG-24-0134</v>
      </c>
      <c r="B447" s="6" t="s">
        <v>884</v>
      </c>
      <c r="C447" s="6" t="s">
        <v>747</v>
      </c>
      <c r="D447" s="6" t="s">
        <v>748</v>
      </c>
      <c r="E447" s="7">
        <v>45440</v>
      </c>
      <c r="F447" s="8">
        <v>0</v>
      </c>
      <c r="G447" s="8">
        <v>0</v>
      </c>
      <c r="H447" s="6">
        <v>3</v>
      </c>
      <c r="I447" s="6" t="s">
        <v>96</v>
      </c>
      <c r="J447" s="6" t="s">
        <v>885</v>
      </c>
    </row>
    <row r="448" spans="1:10" ht="180" x14ac:dyDescent="0.25">
      <c r="A448" s="6" t="str">
        <f>HYPERLINK("https://grants.gov/search-results-detail/353432","CDC-RFA-JG-24-0135")</f>
        <v>CDC-RFA-JG-24-0135</v>
      </c>
      <c r="B448" s="6" t="s">
        <v>796</v>
      </c>
      <c r="C448" s="6" t="s">
        <v>747</v>
      </c>
      <c r="D448" s="6" t="s">
        <v>748</v>
      </c>
      <c r="E448" s="7">
        <v>45451</v>
      </c>
      <c r="F448" s="8">
        <v>0</v>
      </c>
      <c r="G448" s="8">
        <v>0</v>
      </c>
      <c r="H448" s="6">
        <v>1</v>
      </c>
      <c r="I448" s="6" t="s">
        <v>96</v>
      </c>
      <c r="J448" s="6" t="s">
        <v>797</v>
      </c>
    </row>
    <row r="449" spans="1:10" ht="409.5" x14ac:dyDescent="0.25">
      <c r="A449" s="6" t="str">
        <f>HYPERLINK("https://grants.gov/search-results-detail/353431","CDC-RFA-JG-24-0131")</f>
        <v>CDC-RFA-JG-24-0131</v>
      </c>
      <c r="B449" s="6" t="s">
        <v>746</v>
      </c>
      <c r="C449" s="6" t="s">
        <v>747</v>
      </c>
      <c r="D449" s="6" t="s">
        <v>748</v>
      </c>
      <c r="E449" s="7">
        <v>45452</v>
      </c>
      <c r="F449" s="8">
        <v>0</v>
      </c>
      <c r="G449" s="8">
        <v>0</v>
      </c>
      <c r="H449" s="6">
        <v>3</v>
      </c>
      <c r="I449" s="6" t="s">
        <v>749</v>
      </c>
      <c r="J449" s="6" t="s">
        <v>750</v>
      </c>
    </row>
    <row r="450" spans="1:10" ht="240" x14ac:dyDescent="0.25">
      <c r="A450" s="6" t="str">
        <f>HYPERLINK("https://grants.gov/search-results-detail/349738","CDC-RFA-DP-24-0053")</f>
        <v>CDC-RFA-DP-24-0053</v>
      </c>
      <c r="B450" s="6" t="s">
        <v>1562</v>
      </c>
      <c r="C450" s="6" t="s">
        <v>104</v>
      </c>
      <c r="D450" s="6" t="s">
        <v>105</v>
      </c>
      <c r="E450" s="7">
        <v>45435</v>
      </c>
      <c r="F450" s="8">
        <v>0</v>
      </c>
      <c r="G450" s="8">
        <v>0</v>
      </c>
      <c r="H450" s="6">
        <v>59</v>
      </c>
      <c r="I450" s="6" t="s">
        <v>1563</v>
      </c>
      <c r="J450" s="6" t="s">
        <v>1564</v>
      </c>
    </row>
    <row r="451" spans="1:10" ht="315" x14ac:dyDescent="0.25">
      <c r="A451" s="6" t="str">
        <f>HYPERLINK("https://grants.gov/search-results-detail/349661","CDC-RFA-DP-24-0048")</f>
        <v>CDC-RFA-DP-24-0048</v>
      </c>
      <c r="B451" s="6" t="s">
        <v>1339</v>
      </c>
      <c r="C451" s="6" t="s">
        <v>104</v>
      </c>
      <c r="D451" s="6" t="s">
        <v>105</v>
      </c>
      <c r="E451" s="7">
        <v>45440</v>
      </c>
      <c r="F451" s="8">
        <v>525000</v>
      </c>
      <c r="G451" s="8">
        <v>250000</v>
      </c>
      <c r="H451" s="6">
        <v>15</v>
      </c>
      <c r="I451" s="6" t="s">
        <v>749</v>
      </c>
      <c r="J451" s="6" t="s">
        <v>1340</v>
      </c>
    </row>
    <row r="452" spans="1:10" ht="409.5" x14ac:dyDescent="0.25">
      <c r="A452" s="6" t="str">
        <f>HYPERLINK("https://grants.gov/search-results-detail/349766","CDC-RFA-DP-24-0049")</f>
        <v>CDC-RFA-DP-24-0049</v>
      </c>
      <c r="B452" s="6" t="s">
        <v>899</v>
      </c>
      <c r="C452" s="6" t="s">
        <v>104</v>
      </c>
      <c r="D452" s="6" t="s">
        <v>105</v>
      </c>
      <c r="E452" s="7">
        <v>45446</v>
      </c>
      <c r="F452" s="8">
        <v>300000</v>
      </c>
      <c r="G452" s="8">
        <v>100000</v>
      </c>
      <c r="H452" s="6">
        <v>3</v>
      </c>
      <c r="I452" s="6" t="s">
        <v>900</v>
      </c>
      <c r="J452" s="6" t="s">
        <v>901</v>
      </c>
    </row>
    <row r="453" spans="1:10" ht="409.5" x14ac:dyDescent="0.25">
      <c r="A453" s="6" t="str">
        <f>HYPERLINK("https://grants.gov/search-results-detail/349789","CDC-RFA-DP-24-0060")</f>
        <v>CDC-RFA-DP-24-0060</v>
      </c>
      <c r="B453" s="6" t="s">
        <v>760</v>
      </c>
      <c r="C453" s="6" t="s">
        <v>104</v>
      </c>
      <c r="D453" s="6" t="s">
        <v>105</v>
      </c>
      <c r="E453" s="7">
        <v>45453</v>
      </c>
      <c r="F453" s="8">
        <v>750000</v>
      </c>
      <c r="G453" s="8">
        <v>500000</v>
      </c>
      <c r="H453" s="6">
        <v>12</v>
      </c>
      <c r="I453" s="6" t="s">
        <v>761</v>
      </c>
      <c r="J453" s="6" t="s">
        <v>762</v>
      </c>
    </row>
    <row r="454" spans="1:10" ht="409.5" x14ac:dyDescent="0.25">
      <c r="A454" s="6" t="str">
        <f>HYPERLINK("https://grants.gov/search-results-detail/353624","CDC-RFA-DP-24-0059")</f>
        <v>CDC-RFA-DP-24-0059</v>
      </c>
      <c r="B454" s="6" t="s">
        <v>456</v>
      </c>
      <c r="C454" s="6" t="s">
        <v>104</v>
      </c>
      <c r="D454" s="6" t="s">
        <v>105</v>
      </c>
      <c r="E454" s="7">
        <v>45460</v>
      </c>
      <c r="F454" s="8">
        <v>3150000</v>
      </c>
      <c r="G454" s="8">
        <v>3150000</v>
      </c>
      <c r="H454" s="6">
        <v>1</v>
      </c>
      <c r="I454" s="6" t="s">
        <v>457</v>
      </c>
      <c r="J454" s="6" t="s">
        <v>458</v>
      </c>
    </row>
    <row r="455" spans="1:10" ht="409.5" x14ac:dyDescent="0.25">
      <c r="A455" s="6" t="str">
        <f>HYPERLINK("https://grants.gov/search-results-detail/349788","CDC-RFA-DP-24-0025")</f>
        <v>CDC-RFA-DP-24-0025</v>
      </c>
      <c r="B455" s="6" t="s">
        <v>103</v>
      </c>
      <c r="C455" s="6" t="s">
        <v>104</v>
      </c>
      <c r="D455" s="6" t="s">
        <v>105</v>
      </c>
      <c r="E455" s="7">
        <v>45471</v>
      </c>
      <c r="F455" s="8">
        <v>1450000</v>
      </c>
      <c r="G455" s="8">
        <v>300000</v>
      </c>
      <c r="H455" s="6">
        <v>30</v>
      </c>
      <c r="I455" s="6" t="s">
        <v>106</v>
      </c>
      <c r="J455" s="6" t="s">
        <v>107</v>
      </c>
    </row>
    <row r="456" spans="1:10" ht="409.5" x14ac:dyDescent="0.25">
      <c r="A456" s="6" t="str">
        <f>HYPERLINK("https://grants.gov/search-results-detail/349850","CDC-RFA-EH-24-0044")</f>
        <v>CDC-RFA-EH-24-0044</v>
      </c>
      <c r="B456" s="6" t="s">
        <v>953</v>
      </c>
      <c r="C456" s="6" t="s">
        <v>954</v>
      </c>
      <c r="D456" s="6" t="s">
        <v>955</v>
      </c>
      <c r="E456" s="7">
        <v>45447</v>
      </c>
      <c r="F456" s="8">
        <v>1000000</v>
      </c>
      <c r="G456" s="8">
        <v>750000</v>
      </c>
      <c r="H456" s="6">
        <v>1</v>
      </c>
      <c r="I456" s="6" t="s">
        <v>956</v>
      </c>
      <c r="J456" s="6" t="s">
        <v>957</v>
      </c>
    </row>
    <row r="457" spans="1:10" ht="409.5" x14ac:dyDescent="0.25">
      <c r="A457" s="6" t="str">
        <f>HYPERLINK("https://grants.gov/search-results-detail/350137","CDC-RFA-PS-24-0082")</f>
        <v>CDC-RFA-PS-24-0082</v>
      </c>
      <c r="B457" s="6" t="s">
        <v>1918</v>
      </c>
      <c r="C457" s="6" t="s">
        <v>1919</v>
      </c>
      <c r="D457" s="6" t="s">
        <v>1920</v>
      </c>
      <c r="E457" s="7">
        <v>45427</v>
      </c>
      <c r="F457" s="8">
        <v>0</v>
      </c>
      <c r="G457" s="8">
        <v>0</v>
      </c>
      <c r="H457" s="6">
        <v>30</v>
      </c>
      <c r="I457" s="6" t="s">
        <v>1921</v>
      </c>
      <c r="J457" s="6" t="s">
        <v>1922</v>
      </c>
    </row>
    <row r="458" spans="1:10" ht="409.5" x14ac:dyDescent="0.25">
      <c r="A458" s="6" t="str">
        <f>HYPERLINK("https://grants.gov/search-results-detail/352902","CDC-RFA-IP-24-0079")</f>
        <v>CDC-RFA-IP-24-0079</v>
      </c>
      <c r="B458" s="6" t="s">
        <v>1604</v>
      </c>
      <c r="C458" s="6" t="s">
        <v>1184</v>
      </c>
      <c r="D458" s="6" t="s">
        <v>1185</v>
      </c>
      <c r="E458" s="7">
        <v>45427</v>
      </c>
      <c r="F458" s="8">
        <v>0</v>
      </c>
      <c r="G458" s="8">
        <v>0</v>
      </c>
      <c r="H458" s="6">
        <v>2</v>
      </c>
      <c r="I458" s="6" t="s">
        <v>1605</v>
      </c>
      <c r="J458" s="6" t="s">
        <v>1606</v>
      </c>
    </row>
    <row r="459" spans="1:10" ht="300" x14ac:dyDescent="0.25">
      <c r="A459" s="6" t="str">
        <f>HYPERLINK("https://grants.gov/search-results-detail/352488","CDC-RFA-IP19-19010101SUPP24")</f>
        <v>CDC-RFA-IP19-19010101SUPP24</v>
      </c>
      <c r="B459" s="6" t="s">
        <v>1183</v>
      </c>
      <c r="C459" s="6" t="s">
        <v>1184</v>
      </c>
      <c r="D459" s="6" t="s">
        <v>1185</v>
      </c>
      <c r="E459" s="7">
        <v>45440</v>
      </c>
      <c r="F459" s="8">
        <v>0</v>
      </c>
      <c r="G459" s="8">
        <v>0</v>
      </c>
      <c r="H459" s="6">
        <v>7</v>
      </c>
      <c r="I459" s="6" t="s">
        <v>1186</v>
      </c>
      <c r="J459" s="6" t="s">
        <v>1187</v>
      </c>
    </row>
    <row r="460" spans="1:10" ht="409.5" x14ac:dyDescent="0.25">
      <c r="A460" s="6" t="str">
        <f>HYPERLINK("https://grants.gov/search-results-detail/352181","CDC-RFA-TU-24-0142")</f>
        <v>CDC-RFA-TU-24-0142</v>
      </c>
      <c r="B460" s="6" t="s">
        <v>1407</v>
      </c>
      <c r="C460" s="6" t="s">
        <v>1408</v>
      </c>
      <c r="D460" s="6" t="s">
        <v>1409</v>
      </c>
      <c r="E460" s="7">
        <v>45433</v>
      </c>
      <c r="F460" s="8">
        <v>800000</v>
      </c>
      <c r="G460" s="8">
        <v>400000</v>
      </c>
      <c r="H460" s="6">
        <v>10</v>
      </c>
      <c r="I460" s="6" t="s">
        <v>1410</v>
      </c>
      <c r="J460" s="6" t="s">
        <v>1411</v>
      </c>
    </row>
    <row r="461" spans="1:10" ht="409.5" x14ac:dyDescent="0.25">
      <c r="A461" s="6" t="str">
        <f>HYPERLINK("https://grants.gov/search-results-detail/349641","CMS-1W1-24-001")</f>
        <v>CMS-1W1-24-001</v>
      </c>
      <c r="B461" s="6" t="s">
        <v>1067</v>
      </c>
      <c r="C461" s="6" t="s">
        <v>1068</v>
      </c>
      <c r="D461" s="6" t="s">
        <v>1069</v>
      </c>
      <c r="E461" s="7">
        <v>45446</v>
      </c>
      <c r="F461" s="8">
        <v>255000</v>
      </c>
      <c r="G461" s="8">
        <v>0</v>
      </c>
      <c r="H461" s="6">
        <v>5</v>
      </c>
      <c r="I461" s="6" t="s">
        <v>1070</v>
      </c>
      <c r="J461" s="6" t="s">
        <v>1071</v>
      </c>
    </row>
    <row r="462" spans="1:10" ht="409.5" x14ac:dyDescent="0.25">
      <c r="A462" s="6" t="str">
        <f>HYPERLINK("https://grants.gov/search-results-detail/352983","RFA-FD-24-035")</f>
        <v>RFA-FD-24-035</v>
      </c>
      <c r="B462" s="6" t="s">
        <v>1581</v>
      </c>
      <c r="C462" s="6" t="s">
        <v>665</v>
      </c>
      <c r="D462" s="6" t="s">
        <v>666</v>
      </c>
      <c r="E462" s="7">
        <v>45432</v>
      </c>
      <c r="F462" s="8">
        <v>300000</v>
      </c>
      <c r="G462" s="8" t="s">
        <v>18</v>
      </c>
      <c r="H462" s="6">
        <v>4</v>
      </c>
      <c r="I462" s="6" t="s">
        <v>1582</v>
      </c>
      <c r="J462" s="6" t="s">
        <v>1583</v>
      </c>
    </row>
    <row r="463" spans="1:10" ht="165" x14ac:dyDescent="0.25">
      <c r="A463" s="6" t="str">
        <f>HYPERLINK("https://grants.gov/search-results-detail/352965","RFA-FD-24-037")</f>
        <v>RFA-FD-24-037</v>
      </c>
      <c r="B463" s="6" t="s">
        <v>1593</v>
      </c>
      <c r="C463" s="6" t="s">
        <v>665</v>
      </c>
      <c r="D463" s="6" t="s">
        <v>666</v>
      </c>
      <c r="E463" s="7">
        <v>45432</v>
      </c>
      <c r="F463" s="8">
        <v>1100000</v>
      </c>
      <c r="G463" s="8" t="s">
        <v>18</v>
      </c>
      <c r="H463" s="6">
        <v>1</v>
      </c>
      <c r="I463" s="6" t="s">
        <v>1594</v>
      </c>
      <c r="J463" s="6" t="s">
        <v>1595</v>
      </c>
    </row>
    <row r="464" spans="1:10" ht="409.5" x14ac:dyDescent="0.25">
      <c r="A464" s="6" t="str">
        <f>HYPERLINK("https://grants.gov/search-results-detail/351592","RFA-FD-24-012")</f>
        <v>RFA-FD-24-012</v>
      </c>
      <c r="B464" s="6" t="s">
        <v>2023</v>
      </c>
      <c r="C464" s="6" t="s">
        <v>665</v>
      </c>
      <c r="D464" s="6" t="s">
        <v>666</v>
      </c>
      <c r="E464" s="7">
        <v>45453</v>
      </c>
      <c r="F464" s="8">
        <v>1500000</v>
      </c>
      <c r="G464" s="8" t="s">
        <v>18</v>
      </c>
      <c r="H464" s="6">
        <v>1</v>
      </c>
      <c r="I464" s="6" t="s">
        <v>2024</v>
      </c>
      <c r="J464" s="6" t="s">
        <v>2025</v>
      </c>
    </row>
    <row r="465" spans="1:10" ht="285" x14ac:dyDescent="0.25">
      <c r="A465" s="6" t="str">
        <f>HYPERLINK("https://grants.gov/search-results-detail/353528","RFA-FD-24-036")</f>
        <v>RFA-FD-24-036</v>
      </c>
      <c r="B465" s="6" t="s">
        <v>664</v>
      </c>
      <c r="C465" s="6" t="s">
        <v>665</v>
      </c>
      <c r="D465" s="6" t="s">
        <v>666</v>
      </c>
      <c r="E465" s="7">
        <v>45460</v>
      </c>
      <c r="F465" s="8">
        <v>700000</v>
      </c>
      <c r="G465" s="8" t="s">
        <v>18</v>
      </c>
      <c r="H465" s="6">
        <v>1</v>
      </c>
      <c r="I465" s="6" t="s">
        <v>667</v>
      </c>
      <c r="J465" s="6" t="s">
        <v>668</v>
      </c>
    </row>
    <row r="466" spans="1:10" ht="120" x14ac:dyDescent="0.25">
      <c r="A466" s="6" t="str">
        <f>HYPERLINK("https://grants.gov/search-results-detail/349049","HRSA-24-078")</f>
        <v>HRSA-24-078</v>
      </c>
      <c r="B466" s="6" t="s">
        <v>401</v>
      </c>
      <c r="C466" s="6" t="s">
        <v>139</v>
      </c>
      <c r="D466" s="6" t="s">
        <v>140</v>
      </c>
      <c r="E466" s="7">
        <v>45434</v>
      </c>
      <c r="F466" s="8">
        <v>0</v>
      </c>
      <c r="G466" s="8">
        <v>0</v>
      </c>
      <c r="H466" s="6">
        <v>1370</v>
      </c>
      <c r="I466" s="6" t="s">
        <v>402</v>
      </c>
      <c r="J466" s="6" t="s">
        <v>403</v>
      </c>
    </row>
    <row r="467" spans="1:10" ht="409.5" x14ac:dyDescent="0.25">
      <c r="A467" s="6" t="str">
        <f>HYPERLINK("https://grants.gov/search-results-detail/349401","HRSA-24-004")</f>
        <v>HRSA-24-004</v>
      </c>
      <c r="B467" s="6" t="s">
        <v>1347</v>
      </c>
      <c r="C467" s="6" t="s">
        <v>139</v>
      </c>
      <c r="D467" s="6" t="s">
        <v>140</v>
      </c>
      <c r="E467" s="7">
        <v>45435</v>
      </c>
      <c r="F467" s="8">
        <v>0</v>
      </c>
      <c r="G467" s="8">
        <v>0</v>
      </c>
      <c r="H467" s="6">
        <v>8</v>
      </c>
      <c r="I467" s="6" t="s">
        <v>1348</v>
      </c>
      <c r="J467" s="6" t="s">
        <v>1349</v>
      </c>
    </row>
    <row r="468" spans="1:10" ht="409.5" x14ac:dyDescent="0.25">
      <c r="A468" s="6" t="str">
        <f>HYPERLINK("https://grants.gov/search-results-detail/350328","HRSA-24-103")</f>
        <v>HRSA-24-103</v>
      </c>
      <c r="B468" s="6" t="s">
        <v>1791</v>
      </c>
      <c r="C468" s="6" t="s">
        <v>139</v>
      </c>
      <c r="D468" s="6" t="s">
        <v>140</v>
      </c>
      <c r="E468" s="7">
        <v>45435</v>
      </c>
      <c r="F468" s="8">
        <v>0</v>
      </c>
      <c r="G468" s="8">
        <v>0</v>
      </c>
      <c r="H468" s="6">
        <v>1</v>
      </c>
      <c r="I468" s="6" t="s">
        <v>1792</v>
      </c>
      <c r="J468" s="6" t="s">
        <v>1793</v>
      </c>
    </row>
    <row r="469" spans="1:10" ht="90" x14ac:dyDescent="0.25">
      <c r="A469" s="6" t="str">
        <f>HYPERLINK("https://grants.gov/search-results-detail/349407","HRSA-24-009")</f>
        <v>HRSA-24-009</v>
      </c>
      <c r="B469" s="6" t="s">
        <v>1170</v>
      </c>
      <c r="C469" s="6" t="s">
        <v>139</v>
      </c>
      <c r="D469" s="6" t="s">
        <v>140</v>
      </c>
      <c r="E469" s="7">
        <v>45441</v>
      </c>
      <c r="F469" s="8">
        <v>250000</v>
      </c>
      <c r="G469" s="8">
        <v>0</v>
      </c>
      <c r="H469" s="6">
        <v>8</v>
      </c>
      <c r="I469" s="6" t="s">
        <v>1171</v>
      </c>
      <c r="J469" s="6" t="s">
        <v>1172</v>
      </c>
    </row>
    <row r="470" spans="1:10" ht="409.5" x14ac:dyDescent="0.25">
      <c r="A470" s="6" t="str">
        <f>HYPERLINK("https://grants.gov/search-results-detail/353479","HRSA-25-005")</f>
        <v>HRSA-25-005</v>
      </c>
      <c r="B470" s="6" t="s">
        <v>740</v>
      </c>
      <c r="C470" s="6" t="s">
        <v>139</v>
      </c>
      <c r="D470" s="6" t="s">
        <v>140</v>
      </c>
      <c r="E470" s="7">
        <v>45453</v>
      </c>
      <c r="F470" s="8">
        <v>1000000</v>
      </c>
      <c r="G470" s="8">
        <v>0</v>
      </c>
      <c r="H470" s="6">
        <v>51</v>
      </c>
      <c r="I470" s="6" t="s">
        <v>741</v>
      </c>
      <c r="J470" s="6" t="s">
        <v>742</v>
      </c>
    </row>
    <row r="471" spans="1:10" ht="409.5" x14ac:dyDescent="0.25">
      <c r="A471" s="6" t="str">
        <f>HYPERLINK("https://grants.gov/search-results-detail/353570","HRSA-25-002")</f>
        <v>HRSA-25-002</v>
      </c>
      <c r="B471" s="6" t="s">
        <v>580</v>
      </c>
      <c r="C471" s="6" t="s">
        <v>139</v>
      </c>
      <c r="D471" s="6" t="s">
        <v>140</v>
      </c>
      <c r="E471" s="7">
        <v>45460</v>
      </c>
      <c r="F471" s="8">
        <v>0</v>
      </c>
      <c r="G471" s="8">
        <v>0</v>
      </c>
      <c r="H471" s="6">
        <v>89</v>
      </c>
      <c r="I471" s="6" t="s">
        <v>581</v>
      </c>
      <c r="J471" s="6" t="s">
        <v>582</v>
      </c>
    </row>
    <row r="472" spans="1:10" ht="409.5" x14ac:dyDescent="0.25">
      <c r="A472" s="6" t="str">
        <f>HYPERLINK("https://grants.gov/search-results-detail/353571","HRSA-25-003")</f>
        <v>HRSA-25-003</v>
      </c>
      <c r="B472" s="6" t="s">
        <v>580</v>
      </c>
      <c r="C472" s="6" t="s">
        <v>139</v>
      </c>
      <c r="D472" s="6" t="s">
        <v>140</v>
      </c>
      <c r="E472" s="7">
        <v>45460</v>
      </c>
      <c r="F472" s="8">
        <v>0</v>
      </c>
      <c r="G472" s="8">
        <v>0</v>
      </c>
      <c r="H472" s="6">
        <v>111</v>
      </c>
      <c r="I472" s="6" t="s">
        <v>583</v>
      </c>
      <c r="J472" s="6" t="s">
        <v>582</v>
      </c>
    </row>
    <row r="473" spans="1:10" ht="409.5" x14ac:dyDescent="0.25">
      <c r="A473" s="6" t="str">
        <f>HYPERLINK("https://grants.gov/search-results-detail/353573","HRSA-25-004")</f>
        <v>HRSA-25-004</v>
      </c>
      <c r="B473" s="6" t="s">
        <v>580</v>
      </c>
      <c r="C473" s="6" t="s">
        <v>139</v>
      </c>
      <c r="D473" s="6" t="s">
        <v>140</v>
      </c>
      <c r="E473" s="7">
        <v>45460</v>
      </c>
      <c r="F473" s="8">
        <v>0</v>
      </c>
      <c r="G473" s="8">
        <v>0</v>
      </c>
      <c r="H473" s="6">
        <v>157</v>
      </c>
      <c r="I473" s="6" t="s">
        <v>584</v>
      </c>
      <c r="J473" s="6" t="s">
        <v>582</v>
      </c>
    </row>
    <row r="474" spans="1:10" ht="409.5" x14ac:dyDescent="0.25">
      <c r="A474" s="6" t="str">
        <f>HYPERLINK("https://grants.gov/search-results-detail/349429","HRSA-24-046")</f>
        <v>HRSA-24-046</v>
      </c>
      <c r="B474" s="6" t="s">
        <v>988</v>
      </c>
      <c r="C474" s="6" t="s">
        <v>139</v>
      </c>
      <c r="D474" s="6" t="s">
        <v>140</v>
      </c>
      <c r="E474" s="7">
        <v>45464</v>
      </c>
      <c r="F474" s="8">
        <v>950000</v>
      </c>
      <c r="G474" s="8">
        <v>0</v>
      </c>
      <c r="H474" s="6">
        <v>1</v>
      </c>
      <c r="I474" s="6" t="s">
        <v>989</v>
      </c>
      <c r="J474" s="6" t="s">
        <v>990</v>
      </c>
    </row>
    <row r="475" spans="1:10" ht="409.5" x14ac:dyDescent="0.25">
      <c r="A475" s="6" t="str">
        <f>HYPERLINK("https://grants.gov/search-results-detail/349411","HRSA-24-079")</f>
        <v>HRSA-24-079</v>
      </c>
      <c r="B475" s="6" t="s">
        <v>254</v>
      </c>
      <c r="C475" s="6" t="s">
        <v>139</v>
      </c>
      <c r="D475" s="6" t="s">
        <v>140</v>
      </c>
      <c r="E475" s="7">
        <v>45467</v>
      </c>
      <c r="F475" s="8">
        <v>400000</v>
      </c>
      <c r="G475" s="8">
        <v>0</v>
      </c>
      <c r="H475" s="6">
        <v>5</v>
      </c>
      <c r="I475" s="6" t="s">
        <v>255</v>
      </c>
      <c r="J475" s="6" t="s">
        <v>256</v>
      </c>
    </row>
    <row r="476" spans="1:10" ht="409.5" x14ac:dyDescent="0.25">
      <c r="A476" s="6" t="str">
        <f>HYPERLINK("https://grants.gov/search-results-detail/349414","HRSA-24-083")</f>
        <v>HRSA-24-083</v>
      </c>
      <c r="B476" s="6" t="s">
        <v>162</v>
      </c>
      <c r="C476" s="6" t="s">
        <v>139</v>
      </c>
      <c r="D476" s="6" t="s">
        <v>140</v>
      </c>
      <c r="E476" s="7">
        <v>45468</v>
      </c>
      <c r="F476" s="8">
        <v>250000</v>
      </c>
      <c r="G476" s="8">
        <v>0</v>
      </c>
      <c r="H476" s="6">
        <v>12</v>
      </c>
      <c r="I476" s="6" t="s">
        <v>163</v>
      </c>
      <c r="J476" s="6" t="s">
        <v>164</v>
      </c>
    </row>
    <row r="477" spans="1:10" ht="409.5" x14ac:dyDescent="0.25">
      <c r="A477" s="6" t="str">
        <f>HYPERLINK("https://grants.gov/search-results-detail/353825","HRSA-24-105")</f>
        <v>HRSA-24-105</v>
      </c>
      <c r="B477" s="6" t="s">
        <v>138</v>
      </c>
      <c r="C477" s="6" t="s">
        <v>139</v>
      </c>
      <c r="D477" s="6" t="s">
        <v>140</v>
      </c>
      <c r="E477" s="7">
        <v>45483</v>
      </c>
      <c r="F477" s="8">
        <v>2000000</v>
      </c>
      <c r="G477" s="8">
        <v>0</v>
      </c>
      <c r="H477" s="6">
        <v>1</v>
      </c>
      <c r="I477" s="6" t="s">
        <v>141</v>
      </c>
      <c r="J477" s="6" t="s">
        <v>142</v>
      </c>
    </row>
    <row r="478" spans="1:10" ht="409.5" x14ac:dyDescent="0.25">
      <c r="A478" s="6" t="str">
        <f>HYPERLINK("https://grants.gov/search-results-detail/349421","HRSA-24-037")</f>
        <v>HRSA-24-037</v>
      </c>
      <c r="B478" s="6" t="s">
        <v>180</v>
      </c>
      <c r="C478" s="6" t="s">
        <v>139</v>
      </c>
      <c r="D478" s="6" t="s">
        <v>140</v>
      </c>
      <c r="E478" s="7">
        <v>45483</v>
      </c>
      <c r="F478" s="8">
        <v>400000</v>
      </c>
      <c r="G478" s="8">
        <v>0</v>
      </c>
      <c r="H478" s="6">
        <v>5</v>
      </c>
      <c r="I478" s="6" t="s">
        <v>181</v>
      </c>
      <c r="J478" s="6" t="s">
        <v>182</v>
      </c>
    </row>
    <row r="479" spans="1:10" ht="375" x14ac:dyDescent="0.25">
      <c r="A479" s="6" t="str">
        <f>HYPERLINK("https://grants.gov/search-results-detail/337467","RFA-HL-23-006")</f>
        <v>RFA-HL-23-006</v>
      </c>
      <c r="B479" s="6" t="s">
        <v>2559</v>
      </c>
      <c r="C479" s="6" t="s">
        <v>89</v>
      </c>
      <c r="D479" s="6" t="s">
        <v>90</v>
      </c>
      <c r="E479" s="7">
        <v>45428</v>
      </c>
      <c r="F479" s="8" t="s">
        <v>18</v>
      </c>
      <c r="G479" s="8" t="s">
        <v>18</v>
      </c>
      <c r="I479" s="6" t="s">
        <v>2560</v>
      </c>
      <c r="J479" s="6" t="s">
        <v>2561</v>
      </c>
    </row>
    <row r="480" spans="1:10" ht="360" x14ac:dyDescent="0.25">
      <c r="A480" s="6" t="str">
        <f>HYPERLINK("https://grants.gov/search-results-detail/352825","RFA-NR-24-005")</f>
        <v>RFA-NR-24-005</v>
      </c>
      <c r="B480" s="6" t="s">
        <v>1713</v>
      </c>
      <c r="C480" s="6" t="s">
        <v>89</v>
      </c>
      <c r="D480" s="6" t="s">
        <v>90</v>
      </c>
      <c r="E480" s="7">
        <v>45429</v>
      </c>
      <c r="F480" s="8">
        <v>500000</v>
      </c>
      <c r="G480" s="8" t="s">
        <v>18</v>
      </c>
      <c r="I480" s="6" t="s">
        <v>1552</v>
      </c>
      <c r="J480" s="6" t="s">
        <v>1714</v>
      </c>
    </row>
    <row r="481" spans="1:10" ht="240" x14ac:dyDescent="0.25">
      <c r="A481" s="6" t="str">
        <f>HYPERLINK("https://grants.gov/search-results-detail/351473","RFA-AI-23-068")</f>
        <v>RFA-AI-23-068</v>
      </c>
      <c r="B481" s="6" t="s">
        <v>2059</v>
      </c>
      <c r="C481" s="6" t="s">
        <v>89</v>
      </c>
      <c r="D481" s="6" t="s">
        <v>90</v>
      </c>
      <c r="E481" s="7">
        <v>45436</v>
      </c>
      <c r="F481" s="8">
        <v>300000</v>
      </c>
      <c r="G481" s="8" t="s">
        <v>18</v>
      </c>
      <c r="I481" s="6" t="s">
        <v>91</v>
      </c>
      <c r="J481" s="6" t="s">
        <v>2060</v>
      </c>
    </row>
    <row r="482" spans="1:10" ht="360" x14ac:dyDescent="0.25">
      <c r="A482" s="6" t="str">
        <f>HYPERLINK("https://grants.gov/search-results-detail/351474","RFA-AI-23-069")</f>
        <v>RFA-AI-23-069</v>
      </c>
      <c r="B482" s="6" t="s">
        <v>2061</v>
      </c>
      <c r="C482" s="6" t="s">
        <v>89</v>
      </c>
      <c r="D482" s="6" t="s">
        <v>90</v>
      </c>
      <c r="E482" s="7">
        <v>45436</v>
      </c>
      <c r="F482" s="8">
        <v>350000</v>
      </c>
      <c r="G482" s="8" t="s">
        <v>18</v>
      </c>
      <c r="I482" s="6" t="s">
        <v>919</v>
      </c>
      <c r="J482" s="6" t="s">
        <v>2062</v>
      </c>
    </row>
    <row r="483" spans="1:10" ht="315" x14ac:dyDescent="0.25">
      <c r="A483" s="6" t="str">
        <f>HYPERLINK("https://grants.gov/search-results-detail/346763","RFA-AG-24-012")</f>
        <v>RFA-AG-24-012</v>
      </c>
      <c r="B483" s="6" t="s">
        <v>2372</v>
      </c>
      <c r="C483" s="6" t="s">
        <v>89</v>
      </c>
      <c r="D483" s="6" t="s">
        <v>90</v>
      </c>
      <c r="E483" s="7">
        <v>45436</v>
      </c>
      <c r="F483" s="8">
        <v>400000</v>
      </c>
      <c r="G483" s="8" t="s">
        <v>18</v>
      </c>
      <c r="I483" s="6" t="s">
        <v>2373</v>
      </c>
      <c r="J483" s="6" t="s">
        <v>2374</v>
      </c>
    </row>
    <row r="484" spans="1:10" ht="315" x14ac:dyDescent="0.25">
      <c r="A484" s="6" t="str">
        <f>HYPERLINK("https://grants.gov/search-results-detail/346764","RFA-AG-24-013")</f>
        <v>RFA-AG-24-013</v>
      </c>
      <c r="B484" s="6" t="s">
        <v>2375</v>
      </c>
      <c r="C484" s="6" t="s">
        <v>89</v>
      </c>
      <c r="D484" s="6" t="s">
        <v>90</v>
      </c>
      <c r="E484" s="7">
        <v>45436</v>
      </c>
      <c r="F484" s="8">
        <v>200000</v>
      </c>
      <c r="G484" s="8" t="s">
        <v>18</v>
      </c>
      <c r="I484" s="6" t="s">
        <v>2376</v>
      </c>
      <c r="J484" s="6" t="s">
        <v>2377</v>
      </c>
    </row>
    <row r="485" spans="1:10" ht="409.5" x14ac:dyDescent="0.25">
      <c r="A485" s="6" t="str">
        <f>HYPERLINK("https://grants.gov/search-results-detail/347055","PAR-23-113")</f>
        <v>PAR-23-113</v>
      </c>
      <c r="B485" s="6" t="s">
        <v>2360</v>
      </c>
      <c r="C485" s="6" t="s">
        <v>89</v>
      </c>
      <c r="D485" s="6" t="s">
        <v>90</v>
      </c>
      <c r="E485" s="7">
        <v>45437</v>
      </c>
      <c r="F485" s="8" t="s">
        <v>18</v>
      </c>
      <c r="G485" s="8" t="s">
        <v>18</v>
      </c>
      <c r="I485" s="6" t="s">
        <v>2361</v>
      </c>
      <c r="J485" s="6" t="s">
        <v>2362</v>
      </c>
    </row>
    <row r="486" spans="1:10" ht="409.5" x14ac:dyDescent="0.25">
      <c r="A486" s="6" t="str">
        <f>HYPERLINK("https://grants.gov/search-results-detail/352928","PAR-24-104")</f>
        <v>PAR-24-104</v>
      </c>
      <c r="B486" s="6" t="s">
        <v>1631</v>
      </c>
      <c r="C486" s="6" t="s">
        <v>89</v>
      </c>
      <c r="D486" s="6" t="s">
        <v>90</v>
      </c>
      <c r="E486" s="7">
        <v>45442</v>
      </c>
      <c r="F486" s="8">
        <v>250000</v>
      </c>
      <c r="G486" s="8" t="s">
        <v>18</v>
      </c>
      <c r="I486" s="6" t="s">
        <v>1632</v>
      </c>
      <c r="J486" s="6" t="s">
        <v>1633</v>
      </c>
    </row>
    <row r="487" spans="1:10" ht="390" x14ac:dyDescent="0.25">
      <c r="A487" s="6" t="str">
        <f>HYPERLINK("https://grants.gov/search-results-detail/351751","RFA-HG-24-001")</f>
        <v>RFA-HG-24-001</v>
      </c>
      <c r="B487" s="6" t="s">
        <v>1997</v>
      </c>
      <c r="C487" s="6" t="s">
        <v>89</v>
      </c>
      <c r="D487" s="6" t="s">
        <v>90</v>
      </c>
      <c r="E487" s="7">
        <v>45442</v>
      </c>
      <c r="F487" s="8" t="s">
        <v>18</v>
      </c>
      <c r="G487" s="8" t="s">
        <v>18</v>
      </c>
      <c r="I487" s="6" t="s">
        <v>1998</v>
      </c>
      <c r="J487" s="6" t="s">
        <v>1999</v>
      </c>
    </row>
    <row r="488" spans="1:10" ht="360" x14ac:dyDescent="0.25">
      <c r="A488" s="6" t="str">
        <f>HYPERLINK("https://grants.gov/search-results-detail/352010","RFA-AI-24-003")</f>
        <v>RFA-AI-24-003</v>
      </c>
      <c r="B488" s="6" t="s">
        <v>1959</v>
      </c>
      <c r="C488" s="6" t="s">
        <v>89</v>
      </c>
      <c r="D488" s="6" t="s">
        <v>90</v>
      </c>
      <c r="E488" s="7">
        <v>45443</v>
      </c>
      <c r="F488" s="8">
        <v>350000</v>
      </c>
      <c r="G488" s="8" t="s">
        <v>18</v>
      </c>
      <c r="I488" s="6" t="s">
        <v>1532</v>
      </c>
      <c r="J488" s="6" t="s">
        <v>1960</v>
      </c>
    </row>
    <row r="489" spans="1:10" ht="375" x14ac:dyDescent="0.25">
      <c r="A489" s="6" t="str">
        <f>HYPERLINK("https://grants.gov/search-results-detail/353258","RFA-NS-24-034")</f>
        <v>RFA-NS-24-034</v>
      </c>
      <c r="B489" s="6" t="s">
        <v>1129</v>
      </c>
      <c r="C489" s="6" t="s">
        <v>89</v>
      </c>
      <c r="D489" s="6" t="s">
        <v>90</v>
      </c>
      <c r="E489" s="7">
        <v>45445</v>
      </c>
      <c r="F489" s="8">
        <v>1000000</v>
      </c>
      <c r="G489" s="8" t="s">
        <v>18</v>
      </c>
      <c r="I489" s="6" t="s">
        <v>1130</v>
      </c>
      <c r="J489" s="6" t="s">
        <v>1131</v>
      </c>
    </row>
    <row r="490" spans="1:10" ht="240" x14ac:dyDescent="0.25">
      <c r="A490" s="6" t="str">
        <f>HYPERLINK("https://grants.gov/search-results-detail/337287","PAR-22-079")</f>
        <v>PAR-22-079</v>
      </c>
      <c r="B490" s="6" t="s">
        <v>2562</v>
      </c>
      <c r="C490" s="6" t="s">
        <v>89</v>
      </c>
      <c r="D490" s="6" t="s">
        <v>90</v>
      </c>
      <c r="E490" s="7">
        <v>45446</v>
      </c>
      <c r="F490" s="8" t="s">
        <v>18</v>
      </c>
      <c r="G490" s="8" t="s">
        <v>18</v>
      </c>
      <c r="I490" s="6" t="s">
        <v>2563</v>
      </c>
      <c r="J490" s="6" t="s">
        <v>2564</v>
      </c>
    </row>
    <row r="491" spans="1:10" ht="225" x14ac:dyDescent="0.25">
      <c r="A491" s="6" t="str">
        <f>HYPERLINK("https://grants.gov/search-results-detail/337274","PAR-22-080")</f>
        <v>PAR-22-080</v>
      </c>
      <c r="B491" s="6" t="s">
        <v>2565</v>
      </c>
      <c r="C491" s="6" t="s">
        <v>89</v>
      </c>
      <c r="D491" s="6" t="s">
        <v>90</v>
      </c>
      <c r="E491" s="7">
        <v>45446</v>
      </c>
      <c r="F491" s="8" t="s">
        <v>18</v>
      </c>
      <c r="G491" s="8" t="s">
        <v>18</v>
      </c>
      <c r="I491" s="6" t="s">
        <v>2563</v>
      </c>
      <c r="J491" s="6" t="s">
        <v>2566</v>
      </c>
    </row>
    <row r="492" spans="1:10" ht="345" x14ac:dyDescent="0.25">
      <c r="A492" s="6" t="str">
        <f>HYPERLINK("https://grants.gov/search-results-detail/337275","PAR-22-081")</f>
        <v>PAR-22-081</v>
      </c>
      <c r="B492" s="6" t="s">
        <v>2567</v>
      </c>
      <c r="C492" s="6" t="s">
        <v>89</v>
      </c>
      <c r="D492" s="6" t="s">
        <v>90</v>
      </c>
      <c r="E492" s="7">
        <v>45446</v>
      </c>
      <c r="F492" s="8" t="s">
        <v>18</v>
      </c>
      <c r="G492" s="8" t="s">
        <v>18</v>
      </c>
      <c r="I492" s="6" t="s">
        <v>2568</v>
      </c>
      <c r="J492" s="6" t="s">
        <v>2569</v>
      </c>
    </row>
    <row r="493" spans="1:10" ht="135" x14ac:dyDescent="0.25">
      <c r="A493" s="6" t="str">
        <f>HYPERLINK("https://grants.gov/search-results-detail/338636","PAR-22-118")</f>
        <v>PAR-22-118</v>
      </c>
      <c r="B493" s="6" t="s">
        <v>2538</v>
      </c>
      <c r="C493" s="6" t="s">
        <v>89</v>
      </c>
      <c r="D493" s="6" t="s">
        <v>90</v>
      </c>
      <c r="E493" s="7">
        <v>45449</v>
      </c>
      <c r="F493" s="8">
        <v>230000</v>
      </c>
      <c r="G493" s="8" t="s">
        <v>18</v>
      </c>
      <c r="I493" s="6" t="s">
        <v>2539</v>
      </c>
      <c r="J493" s="6" t="s">
        <v>2540</v>
      </c>
    </row>
    <row r="494" spans="1:10" ht="135" x14ac:dyDescent="0.25">
      <c r="A494" s="6" t="str">
        <f>HYPERLINK("https://grants.gov/search-results-detail/338655","PAR-22-116")</f>
        <v>PAR-22-116</v>
      </c>
      <c r="B494" s="6" t="s">
        <v>2541</v>
      </c>
      <c r="C494" s="6" t="s">
        <v>89</v>
      </c>
      <c r="D494" s="6" t="s">
        <v>90</v>
      </c>
      <c r="E494" s="7">
        <v>45449</v>
      </c>
      <c r="F494" s="8">
        <v>230000</v>
      </c>
      <c r="G494" s="8" t="s">
        <v>18</v>
      </c>
      <c r="I494" s="6" t="s">
        <v>2542</v>
      </c>
      <c r="J494" s="6" t="s">
        <v>2543</v>
      </c>
    </row>
    <row r="495" spans="1:10" ht="409.5" x14ac:dyDescent="0.25">
      <c r="A495" s="6" t="str">
        <f>HYPERLINK("https://grants.gov/search-results-detail/348003","RFA-MH-23-295")</f>
        <v>RFA-MH-23-295</v>
      </c>
      <c r="B495" s="6" t="s">
        <v>2305</v>
      </c>
      <c r="C495" s="6" t="s">
        <v>89</v>
      </c>
      <c r="D495" s="6" t="s">
        <v>90</v>
      </c>
      <c r="E495" s="7">
        <v>45450</v>
      </c>
      <c r="F495" s="8" t="s">
        <v>18</v>
      </c>
      <c r="G495" s="8" t="s">
        <v>18</v>
      </c>
      <c r="I495" s="6" t="s">
        <v>1196</v>
      </c>
      <c r="J495" s="6" t="s">
        <v>2306</v>
      </c>
    </row>
    <row r="496" spans="1:10" ht="390" x14ac:dyDescent="0.25">
      <c r="A496" s="6" t="str">
        <f>HYPERLINK("https://grants.gov/search-results-detail/347500","RFA-MH-23-270")</f>
        <v>RFA-MH-23-270</v>
      </c>
      <c r="B496" s="6" t="s">
        <v>2334</v>
      </c>
      <c r="C496" s="6" t="s">
        <v>89</v>
      </c>
      <c r="D496" s="6" t="s">
        <v>90</v>
      </c>
      <c r="E496" s="7">
        <v>45450</v>
      </c>
      <c r="F496" s="8" t="s">
        <v>18</v>
      </c>
      <c r="G496" s="8" t="s">
        <v>18</v>
      </c>
      <c r="I496" s="6" t="s">
        <v>1152</v>
      </c>
      <c r="J496" s="6" t="s">
        <v>2335</v>
      </c>
    </row>
    <row r="497" spans="1:10" ht="270" x14ac:dyDescent="0.25">
      <c r="A497" s="6" t="str">
        <f>HYPERLINK("https://grants.gov/search-results-detail/352941","RFA-AG-25-017")</f>
        <v>RFA-AG-25-017</v>
      </c>
      <c r="B497" s="6" t="s">
        <v>1614</v>
      </c>
      <c r="C497" s="6" t="s">
        <v>89</v>
      </c>
      <c r="D497" s="6" t="s">
        <v>90</v>
      </c>
      <c r="E497" s="7">
        <v>45453</v>
      </c>
      <c r="F497" s="8">
        <v>500000</v>
      </c>
      <c r="G497" s="8" t="s">
        <v>18</v>
      </c>
      <c r="I497" s="6" t="s">
        <v>1615</v>
      </c>
      <c r="J497" s="6" t="s">
        <v>1616</v>
      </c>
    </row>
    <row r="498" spans="1:10" ht="405" x14ac:dyDescent="0.25">
      <c r="A498" s="6" t="str">
        <f>HYPERLINK("https://grants.gov/search-results-detail/350023","RFA-HG-23-002")</f>
        <v>RFA-HG-23-002</v>
      </c>
      <c r="B498" s="6" t="s">
        <v>2193</v>
      </c>
      <c r="C498" s="6" t="s">
        <v>89</v>
      </c>
      <c r="D498" s="6" t="s">
        <v>90</v>
      </c>
      <c r="E498" s="7">
        <v>45453</v>
      </c>
      <c r="F498" s="8" t="s">
        <v>18</v>
      </c>
      <c r="G498" s="8" t="s">
        <v>18</v>
      </c>
      <c r="I498" s="6" t="s">
        <v>2194</v>
      </c>
      <c r="J498" s="6" t="s">
        <v>2195</v>
      </c>
    </row>
    <row r="499" spans="1:10" ht="409.5" x14ac:dyDescent="0.25">
      <c r="A499" s="6" t="str">
        <f>HYPERLINK("https://grants.gov/search-results-detail/335738","PAR-21-334")</f>
        <v>PAR-21-334</v>
      </c>
      <c r="B499" s="6" t="s">
        <v>2608</v>
      </c>
      <c r="C499" s="6" t="s">
        <v>89</v>
      </c>
      <c r="D499" s="6" t="s">
        <v>90</v>
      </c>
      <c r="E499" s="7">
        <v>45454</v>
      </c>
      <c r="F499" s="8">
        <v>600000</v>
      </c>
      <c r="G499" s="8" t="s">
        <v>18</v>
      </c>
      <c r="I499" s="6" t="s">
        <v>2609</v>
      </c>
      <c r="J499" s="6" t="s">
        <v>2610</v>
      </c>
    </row>
    <row r="500" spans="1:10" ht="409.5" x14ac:dyDescent="0.25">
      <c r="A500" s="6" t="str">
        <f>HYPERLINK("https://grants.gov/search-results-detail/335737","PAR-21-335")</f>
        <v>PAR-21-335</v>
      </c>
      <c r="B500" s="6" t="s">
        <v>2611</v>
      </c>
      <c r="C500" s="6" t="s">
        <v>89</v>
      </c>
      <c r="D500" s="6" t="s">
        <v>90</v>
      </c>
      <c r="E500" s="7">
        <v>45454</v>
      </c>
      <c r="F500" s="8">
        <v>500000</v>
      </c>
      <c r="G500" s="8" t="s">
        <v>18</v>
      </c>
      <c r="I500" s="6" t="s">
        <v>2612</v>
      </c>
      <c r="J500" s="6" t="s">
        <v>2613</v>
      </c>
    </row>
    <row r="501" spans="1:10" ht="255" x14ac:dyDescent="0.25">
      <c r="A501" s="6" t="str">
        <f>HYPERLINK("https://grants.gov/search-results-detail/352211","RFA-AG-25-016")</f>
        <v>RFA-AG-25-016</v>
      </c>
      <c r="B501" s="6" t="s">
        <v>1928</v>
      </c>
      <c r="C501" s="6" t="s">
        <v>89</v>
      </c>
      <c r="D501" s="6" t="s">
        <v>90</v>
      </c>
      <c r="E501" s="7">
        <v>45456</v>
      </c>
      <c r="F501" s="8">
        <v>500000</v>
      </c>
      <c r="G501" s="8" t="s">
        <v>18</v>
      </c>
      <c r="I501" s="6" t="s">
        <v>1427</v>
      </c>
      <c r="J501" s="6" t="s">
        <v>1929</v>
      </c>
    </row>
    <row r="502" spans="1:10" ht="345" x14ac:dyDescent="0.25">
      <c r="A502" s="6" t="str">
        <f>HYPERLINK("https://grants.gov/search-results-detail/338269","RFA-NS-22-049")</f>
        <v>RFA-NS-22-049</v>
      </c>
      <c r="B502" s="6" t="s">
        <v>2549</v>
      </c>
      <c r="C502" s="6" t="s">
        <v>89</v>
      </c>
      <c r="D502" s="6" t="s">
        <v>90</v>
      </c>
      <c r="E502" s="7">
        <v>45456</v>
      </c>
      <c r="F502" s="8" t="s">
        <v>18</v>
      </c>
      <c r="G502" s="8" t="s">
        <v>18</v>
      </c>
      <c r="I502" s="6" t="s">
        <v>2550</v>
      </c>
      <c r="J502" s="6" t="s">
        <v>2551</v>
      </c>
    </row>
    <row r="503" spans="1:10" ht="345" x14ac:dyDescent="0.25">
      <c r="A503" s="6" t="str">
        <f>HYPERLINK("https://grants.gov/search-results-detail/353025","RFA-AG-25-012")</f>
        <v>RFA-AG-25-012</v>
      </c>
      <c r="B503" s="6" t="s">
        <v>1548</v>
      </c>
      <c r="C503" s="6" t="s">
        <v>89</v>
      </c>
      <c r="D503" s="6" t="s">
        <v>90</v>
      </c>
      <c r="E503" s="7">
        <v>45457</v>
      </c>
      <c r="F503" s="8">
        <v>1100000</v>
      </c>
      <c r="G503" s="8" t="s">
        <v>18</v>
      </c>
      <c r="I503" s="6" t="s">
        <v>1549</v>
      </c>
      <c r="J503" s="6" t="s">
        <v>1550</v>
      </c>
    </row>
    <row r="504" spans="1:10" ht="375" x14ac:dyDescent="0.25">
      <c r="A504" s="6" t="str">
        <f>HYPERLINK("https://grants.gov/search-results-detail/352689","RFA-AG-25-009")</f>
        <v>RFA-AG-25-009</v>
      </c>
      <c r="B504" s="6" t="s">
        <v>1775</v>
      </c>
      <c r="C504" s="6" t="s">
        <v>89</v>
      </c>
      <c r="D504" s="6" t="s">
        <v>90</v>
      </c>
      <c r="E504" s="7">
        <v>45457</v>
      </c>
      <c r="F504" s="8" t="s">
        <v>18</v>
      </c>
      <c r="G504" s="8" t="s">
        <v>18</v>
      </c>
      <c r="I504" s="6" t="s">
        <v>1776</v>
      </c>
      <c r="J504" s="6" t="s">
        <v>1777</v>
      </c>
    </row>
    <row r="505" spans="1:10" ht="409.5" x14ac:dyDescent="0.25">
      <c r="A505" s="6" t="str">
        <f>HYPERLINK("https://grants.gov/search-results-detail/347742","RFA-NS-23-025")</f>
        <v>RFA-NS-23-025</v>
      </c>
      <c r="B505" s="6" t="s">
        <v>2314</v>
      </c>
      <c r="C505" s="6" t="s">
        <v>89</v>
      </c>
      <c r="D505" s="6" t="s">
        <v>90</v>
      </c>
      <c r="E505" s="7">
        <v>45457</v>
      </c>
      <c r="F505" s="8" t="s">
        <v>18</v>
      </c>
      <c r="G505" s="8" t="s">
        <v>18</v>
      </c>
      <c r="I505" s="6" t="s">
        <v>2315</v>
      </c>
      <c r="J505" s="6" t="s">
        <v>2316</v>
      </c>
    </row>
    <row r="506" spans="1:10" ht="240" x14ac:dyDescent="0.25">
      <c r="A506" s="6" t="str">
        <f>HYPERLINK("https://grants.gov/search-results-detail/337487","RFA-MH-22-145")</f>
        <v>RFA-MH-22-145</v>
      </c>
      <c r="B506" s="6" t="s">
        <v>2557</v>
      </c>
      <c r="C506" s="6" t="s">
        <v>89</v>
      </c>
      <c r="D506" s="6" t="s">
        <v>90</v>
      </c>
      <c r="E506" s="7">
        <v>45457</v>
      </c>
      <c r="F506" s="8" t="s">
        <v>18</v>
      </c>
      <c r="G506" s="8" t="s">
        <v>18</v>
      </c>
      <c r="I506" s="6" t="s">
        <v>2520</v>
      </c>
      <c r="J506" s="6" t="s">
        <v>2558</v>
      </c>
    </row>
    <row r="507" spans="1:10" ht="409.5" x14ac:dyDescent="0.25">
      <c r="A507" s="6" t="str">
        <f>HYPERLINK("https://grants.gov/search-results-detail/336733","PAR-22-065")</f>
        <v>PAR-22-065</v>
      </c>
      <c r="B507" s="6" t="s">
        <v>2579</v>
      </c>
      <c r="C507" s="6" t="s">
        <v>89</v>
      </c>
      <c r="D507" s="6" t="s">
        <v>90</v>
      </c>
      <c r="E507" s="7">
        <v>45457</v>
      </c>
      <c r="F507" s="8" t="s">
        <v>18</v>
      </c>
      <c r="G507" s="8" t="s">
        <v>18</v>
      </c>
      <c r="I507" s="6" t="s">
        <v>2580</v>
      </c>
      <c r="J507" s="6" t="s">
        <v>2581</v>
      </c>
    </row>
    <row r="508" spans="1:10" ht="360" x14ac:dyDescent="0.25">
      <c r="A508" s="6" t="str">
        <f>HYPERLINK("https://grants.gov/search-results-detail/353027","RFA-AG-25-013")</f>
        <v>RFA-AG-25-013</v>
      </c>
      <c r="B508" s="6" t="s">
        <v>1551</v>
      </c>
      <c r="C508" s="6" t="s">
        <v>89</v>
      </c>
      <c r="D508" s="6" t="s">
        <v>90</v>
      </c>
      <c r="E508" s="7">
        <v>45458</v>
      </c>
      <c r="F508" s="8" t="s">
        <v>18</v>
      </c>
      <c r="G508" s="8" t="s">
        <v>18</v>
      </c>
      <c r="I508" s="6" t="s">
        <v>1552</v>
      </c>
      <c r="J508" s="6" t="s">
        <v>1553</v>
      </c>
    </row>
    <row r="509" spans="1:10" ht="240" x14ac:dyDescent="0.25">
      <c r="A509" s="6" t="str">
        <f>HYPERLINK("https://grants.gov/search-results-detail/352326","RFA-AG-25-005")</f>
        <v>RFA-AG-25-005</v>
      </c>
      <c r="B509" s="6" t="s">
        <v>1908</v>
      </c>
      <c r="C509" s="6" t="s">
        <v>89</v>
      </c>
      <c r="D509" s="6" t="s">
        <v>90</v>
      </c>
      <c r="E509" s="7">
        <v>45458</v>
      </c>
      <c r="F509" s="8" t="s">
        <v>18</v>
      </c>
      <c r="G509" s="8" t="s">
        <v>18</v>
      </c>
      <c r="I509" s="6" t="s">
        <v>1213</v>
      </c>
      <c r="J509" s="6" t="s">
        <v>1909</v>
      </c>
    </row>
    <row r="510" spans="1:10" ht="315" x14ac:dyDescent="0.25">
      <c r="A510" s="6" t="str">
        <f>HYPERLINK("https://grants.gov/search-results-detail/339379","PAR-22-136")</f>
        <v>PAR-22-136</v>
      </c>
      <c r="B510" s="6" t="s">
        <v>2510</v>
      </c>
      <c r="C510" s="6" t="s">
        <v>89</v>
      </c>
      <c r="D510" s="6" t="s">
        <v>90</v>
      </c>
      <c r="E510" s="7">
        <v>45460</v>
      </c>
      <c r="F510" s="8" t="s">
        <v>18</v>
      </c>
      <c r="G510" s="8" t="s">
        <v>18</v>
      </c>
      <c r="I510" s="6" t="s">
        <v>2511</v>
      </c>
      <c r="J510" s="6" t="s">
        <v>2512</v>
      </c>
    </row>
    <row r="511" spans="1:10" ht="409.5" x14ac:dyDescent="0.25">
      <c r="A511" s="6" t="str">
        <f>HYPERLINK("https://grants.gov/search-results-detail/353302","RFA-DK-25-008")</f>
        <v>RFA-DK-25-008</v>
      </c>
      <c r="B511" s="6" t="s">
        <v>1126</v>
      </c>
      <c r="C511" s="6" t="s">
        <v>89</v>
      </c>
      <c r="D511" s="6" t="s">
        <v>90</v>
      </c>
      <c r="E511" s="7">
        <v>45461</v>
      </c>
      <c r="F511" s="8" t="s">
        <v>18</v>
      </c>
      <c r="G511" s="8" t="s">
        <v>18</v>
      </c>
      <c r="I511" s="6" t="s">
        <v>1127</v>
      </c>
      <c r="J511" s="6" t="s">
        <v>1128</v>
      </c>
    </row>
    <row r="512" spans="1:10" ht="360" x14ac:dyDescent="0.25">
      <c r="A512" s="6" t="str">
        <f>HYPERLINK("https://grants.gov/search-results-detail/346722","RFA-OD-23-013")</f>
        <v>RFA-OD-23-013</v>
      </c>
      <c r="B512" s="6" t="s">
        <v>2378</v>
      </c>
      <c r="C512" s="6" t="s">
        <v>89</v>
      </c>
      <c r="D512" s="6" t="s">
        <v>90</v>
      </c>
      <c r="E512" s="7">
        <v>45463</v>
      </c>
      <c r="F512" s="8">
        <v>275000</v>
      </c>
      <c r="G512" s="8" t="s">
        <v>18</v>
      </c>
      <c r="I512" s="6" t="s">
        <v>2379</v>
      </c>
      <c r="J512" s="6" t="s">
        <v>2380</v>
      </c>
    </row>
    <row r="513" spans="1:10" ht="345" x14ac:dyDescent="0.25">
      <c r="A513" s="6" t="str">
        <f>HYPERLINK("https://grants.gov/search-results-detail/346672","RFA-OD-23-014")</f>
        <v>RFA-OD-23-014</v>
      </c>
      <c r="B513" s="6" t="s">
        <v>2386</v>
      </c>
      <c r="C513" s="6" t="s">
        <v>89</v>
      </c>
      <c r="D513" s="6" t="s">
        <v>90</v>
      </c>
      <c r="E513" s="7">
        <v>45463</v>
      </c>
      <c r="F513" s="8">
        <v>350000</v>
      </c>
      <c r="G513" s="8" t="s">
        <v>18</v>
      </c>
      <c r="I513" s="6" t="s">
        <v>2330</v>
      </c>
      <c r="J513" s="6" t="s">
        <v>2387</v>
      </c>
    </row>
    <row r="514" spans="1:10" ht="409.5" x14ac:dyDescent="0.25">
      <c r="A514" s="6" t="str">
        <f>HYPERLINK("https://grants.gov/search-results-detail/335384","PAR-21-282")</f>
        <v>PAR-21-282</v>
      </c>
      <c r="B514" s="6" t="s">
        <v>2638</v>
      </c>
      <c r="C514" s="6" t="s">
        <v>89</v>
      </c>
      <c r="D514" s="6" t="s">
        <v>90</v>
      </c>
      <c r="E514" s="7">
        <v>45463</v>
      </c>
      <c r="F514" s="8" t="s">
        <v>18</v>
      </c>
      <c r="G514" s="8" t="s">
        <v>18</v>
      </c>
      <c r="I514" s="6" t="s">
        <v>2639</v>
      </c>
      <c r="J514" s="6" t="s">
        <v>2640</v>
      </c>
    </row>
    <row r="515" spans="1:10" ht="409.5" x14ac:dyDescent="0.25">
      <c r="A515" s="6" t="str">
        <f>HYPERLINK("https://grants.gov/search-results-detail/335363","PAR-21-315")</f>
        <v>PAR-21-315</v>
      </c>
      <c r="B515" s="6" t="s">
        <v>2641</v>
      </c>
      <c r="C515" s="6" t="s">
        <v>89</v>
      </c>
      <c r="D515" s="6" t="s">
        <v>90</v>
      </c>
      <c r="E515" s="7">
        <v>45463</v>
      </c>
      <c r="F515" s="8" t="s">
        <v>18</v>
      </c>
      <c r="G515" s="8" t="s">
        <v>18</v>
      </c>
      <c r="I515" s="6" t="s">
        <v>2514</v>
      </c>
      <c r="J515" s="6" t="s">
        <v>2642</v>
      </c>
    </row>
    <row r="516" spans="1:10" ht="240" x14ac:dyDescent="0.25">
      <c r="A516" s="6" t="str">
        <f>HYPERLINK("https://grants.gov/search-results-detail/334364","RFA-DC-22-001")</f>
        <v>RFA-DC-22-001</v>
      </c>
      <c r="B516" s="6" t="s">
        <v>2647</v>
      </c>
      <c r="C516" s="6" t="s">
        <v>89</v>
      </c>
      <c r="D516" s="6" t="s">
        <v>90</v>
      </c>
      <c r="E516" s="7">
        <v>45463</v>
      </c>
      <c r="F516" s="8" t="s">
        <v>18</v>
      </c>
      <c r="G516" s="8" t="s">
        <v>18</v>
      </c>
      <c r="I516" s="6" t="s">
        <v>2520</v>
      </c>
      <c r="J516" s="6" t="s">
        <v>2648</v>
      </c>
    </row>
    <row r="517" spans="1:10" ht="270" x14ac:dyDescent="0.25">
      <c r="A517" s="6" t="str">
        <f>HYPERLINK("https://grants.gov/search-results-detail/353238","RFA-AI-24-006")</f>
        <v>RFA-AI-24-006</v>
      </c>
      <c r="B517" s="6" t="s">
        <v>1208</v>
      </c>
      <c r="C517" s="6" t="s">
        <v>89</v>
      </c>
      <c r="D517" s="6" t="s">
        <v>90</v>
      </c>
      <c r="E517" s="7">
        <v>45464</v>
      </c>
      <c r="F517" s="8">
        <v>350000</v>
      </c>
      <c r="G517" s="8" t="s">
        <v>18</v>
      </c>
      <c r="I517" s="6" t="s">
        <v>91</v>
      </c>
      <c r="J517" s="6" t="s">
        <v>1209</v>
      </c>
    </row>
    <row r="518" spans="1:10" ht="300" x14ac:dyDescent="0.25">
      <c r="A518" s="6" t="str">
        <f>HYPERLINK("https://grants.gov/search-results-detail/353239","RFA-AI-24-016")</f>
        <v>RFA-AI-24-016</v>
      </c>
      <c r="B518" s="6" t="s">
        <v>1212</v>
      </c>
      <c r="C518" s="6" t="s">
        <v>89</v>
      </c>
      <c r="D518" s="6" t="s">
        <v>90</v>
      </c>
      <c r="E518" s="7">
        <v>45464</v>
      </c>
      <c r="F518" s="8">
        <v>1500000</v>
      </c>
      <c r="G518" s="8" t="s">
        <v>18</v>
      </c>
      <c r="I518" s="6" t="s">
        <v>1213</v>
      </c>
      <c r="J518" s="6" t="s">
        <v>1214</v>
      </c>
    </row>
    <row r="519" spans="1:10" ht="390" x14ac:dyDescent="0.25">
      <c r="A519" s="6" t="str">
        <f>HYPERLINK("https://grants.gov/search-results-detail/351585","RFA-AI-24-002")</f>
        <v>RFA-AI-24-002</v>
      </c>
      <c r="B519" s="6" t="s">
        <v>2026</v>
      </c>
      <c r="C519" s="6" t="s">
        <v>89</v>
      </c>
      <c r="D519" s="6" t="s">
        <v>90</v>
      </c>
      <c r="E519" s="7">
        <v>45464</v>
      </c>
      <c r="F519" s="8">
        <v>250000</v>
      </c>
      <c r="G519" s="8" t="s">
        <v>18</v>
      </c>
      <c r="I519" s="6" t="s">
        <v>1998</v>
      </c>
      <c r="J519" s="6" t="s">
        <v>2027</v>
      </c>
    </row>
    <row r="520" spans="1:10" ht="409.5" x14ac:dyDescent="0.25">
      <c r="A520" s="6" t="str">
        <f>HYPERLINK("https://grants.gov/search-results-detail/336014","PAR-21-349")</f>
        <v>PAR-21-349</v>
      </c>
      <c r="B520" s="6" t="s">
        <v>2599</v>
      </c>
      <c r="C520" s="6" t="s">
        <v>89</v>
      </c>
      <c r="D520" s="6" t="s">
        <v>90</v>
      </c>
      <c r="E520" s="7">
        <v>45464</v>
      </c>
      <c r="F520" s="8" t="s">
        <v>18</v>
      </c>
      <c r="G520" s="8" t="s">
        <v>18</v>
      </c>
      <c r="I520" s="6" t="s">
        <v>2600</v>
      </c>
      <c r="J520" s="6" t="s">
        <v>2601</v>
      </c>
    </row>
    <row r="521" spans="1:10" ht="225" x14ac:dyDescent="0.25">
      <c r="A521" s="6" t="str">
        <f>HYPERLINK("https://grants.gov/search-results-detail/336015","PAR-21-350")</f>
        <v>PAR-21-350</v>
      </c>
      <c r="B521" s="6" t="s">
        <v>2602</v>
      </c>
      <c r="C521" s="6" t="s">
        <v>89</v>
      </c>
      <c r="D521" s="6" t="s">
        <v>90</v>
      </c>
      <c r="E521" s="7">
        <v>45464</v>
      </c>
      <c r="F521" s="8" t="s">
        <v>18</v>
      </c>
      <c r="G521" s="8" t="s">
        <v>18</v>
      </c>
      <c r="I521" s="6" t="s">
        <v>2603</v>
      </c>
      <c r="J521" s="6" t="s">
        <v>2604</v>
      </c>
    </row>
    <row r="522" spans="1:10" ht="409.5" x14ac:dyDescent="0.25">
      <c r="A522" s="6" t="str">
        <f>HYPERLINK("https://grants.gov/search-results-detail/353033","RFA-NS-25-014")</f>
        <v>RFA-NS-25-014</v>
      </c>
      <c r="B522" s="6" t="s">
        <v>1531</v>
      </c>
      <c r="C522" s="6" t="s">
        <v>89</v>
      </c>
      <c r="D522" s="6" t="s">
        <v>90</v>
      </c>
      <c r="E522" s="7">
        <v>45467</v>
      </c>
      <c r="F522" s="8">
        <v>825000</v>
      </c>
      <c r="G522" s="8" t="s">
        <v>18</v>
      </c>
      <c r="I522" s="6" t="s">
        <v>1532</v>
      </c>
      <c r="J522" s="6" t="s">
        <v>1533</v>
      </c>
    </row>
    <row r="523" spans="1:10" ht="409.5" x14ac:dyDescent="0.25">
      <c r="A523" s="6" t="str">
        <f>HYPERLINK("https://grants.gov/search-results-detail/343726","RFA-HG-22-026")</f>
        <v>RFA-HG-22-026</v>
      </c>
      <c r="B523" s="6" t="s">
        <v>2459</v>
      </c>
      <c r="C523" s="6" t="s">
        <v>89</v>
      </c>
      <c r="D523" s="6" t="s">
        <v>90</v>
      </c>
      <c r="E523" s="7">
        <v>45467</v>
      </c>
      <c r="F523" s="8">
        <v>1400000</v>
      </c>
      <c r="G523" s="8" t="s">
        <v>18</v>
      </c>
      <c r="I523" s="6" t="s">
        <v>2460</v>
      </c>
      <c r="J523" s="6" t="s">
        <v>2461</v>
      </c>
    </row>
    <row r="524" spans="1:10" ht="409.5" x14ac:dyDescent="0.25">
      <c r="A524" s="6" t="str">
        <f>HYPERLINK("https://grants.gov/search-results-detail/343727","RFA-HG-22-027")</f>
        <v>RFA-HG-22-027</v>
      </c>
      <c r="B524" s="6" t="s">
        <v>2462</v>
      </c>
      <c r="C524" s="6" t="s">
        <v>89</v>
      </c>
      <c r="D524" s="6" t="s">
        <v>90</v>
      </c>
      <c r="E524" s="7">
        <v>45467</v>
      </c>
      <c r="F524" s="8">
        <v>300000</v>
      </c>
      <c r="G524" s="8" t="s">
        <v>18</v>
      </c>
      <c r="I524" s="6" t="s">
        <v>2463</v>
      </c>
      <c r="J524" s="6" t="s">
        <v>2464</v>
      </c>
    </row>
    <row r="525" spans="1:10" ht="360" x14ac:dyDescent="0.25">
      <c r="A525" s="6" t="str">
        <f>HYPERLINK("https://grants.gov/search-results-detail/353398","RFA-RM-24-006")</f>
        <v>RFA-RM-24-006</v>
      </c>
      <c r="B525" s="6" t="s">
        <v>918</v>
      </c>
      <c r="C525" s="6" t="s">
        <v>89</v>
      </c>
      <c r="D525" s="6" t="s">
        <v>90</v>
      </c>
      <c r="E525" s="7">
        <v>45470</v>
      </c>
      <c r="F525" s="8" t="s">
        <v>18</v>
      </c>
      <c r="G525" s="8" t="s">
        <v>18</v>
      </c>
      <c r="I525" s="6" t="s">
        <v>919</v>
      </c>
      <c r="J525" s="6" t="s">
        <v>920</v>
      </c>
    </row>
    <row r="526" spans="1:10" ht="409.5" x14ac:dyDescent="0.25">
      <c r="A526" s="6" t="str">
        <f>HYPERLINK("https://grants.gov/search-results-detail/352101","RFA-DK-23-011")</f>
        <v>RFA-DK-23-011</v>
      </c>
      <c r="B526" s="6" t="s">
        <v>1941</v>
      </c>
      <c r="C526" s="6" t="s">
        <v>89</v>
      </c>
      <c r="D526" s="6" t="s">
        <v>90</v>
      </c>
      <c r="E526" s="7">
        <v>45470</v>
      </c>
      <c r="F526" s="8">
        <v>500000</v>
      </c>
      <c r="G526" s="8" t="s">
        <v>18</v>
      </c>
      <c r="I526" s="6" t="s">
        <v>1615</v>
      </c>
      <c r="J526" s="6" t="s">
        <v>1942</v>
      </c>
    </row>
    <row r="527" spans="1:10" ht="255" x14ac:dyDescent="0.25">
      <c r="A527" s="6" t="str">
        <f>HYPERLINK("https://grants.gov/search-results-detail/353243","RFA-AI-24-010")</f>
        <v>RFA-AI-24-010</v>
      </c>
      <c r="B527" s="6" t="s">
        <v>1215</v>
      </c>
      <c r="C527" s="6" t="s">
        <v>89</v>
      </c>
      <c r="D527" s="6" t="s">
        <v>90</v>
      </c>
      <c r="E527" s="7">
        <v>45471</v>
      </c>
      <c r="F527" s="8">
        <v>3500000</v>
      </c>
      <c r="G527" s="8" t="s">
        <v>18</v>
      </c>
      <c r="I527" s="6" t="s">
        <v>1216</v>
      </c>
      <c r="J527" s="6" t="s">
        <v>1217</v>
      </c>
    </row>
    <row r="528" spans="1:10" ht="315" x14ac:dyDescent="0.25">
      <c r="A528" s="6" t="str">
        <f>HYPERLINK("https://grants.gov/search-results-detail/352812","RFA-AT-24-008")</f>
        <v>RFA-AT-24-008</v>
      </c>
      <c r="B528" s="6" t="s">
        <v>1726</v>
      </c>
      <c r="C528" s="6" t="s">
        <v>89</v>
      </c>
      <c r="D528" s="6" t="s">
        <v>90</v>
      </c>
      <c r="E528" s="7">
        <v>45471</v>
      </c>
      <c r="F528" s="8">
        <v>500000</v>
      </c>
      <c r="G528" s="8" t="s">
        <v>18</v>
      </c>
      <c r="I528" s="6" t="s">
        <v>1065</v>
      </c>
      <c r="J528" s="6" t="s">
        <v>1727</v>
      </c>
    </row>
    <row r="529" spans="1:10" ht="315" x14ac:dyDescent="0.25">
      <c r="A529" s="6" t="str">
        <f>HYPERLINK("https://grants.gov/search-results-detail/334515","PA-21-268")</f>
        <v>PA-21-268</v>
      </c>
      <c r="B529" s="6" t="s">
        <v>2643</v>
      </c>
      <c r="C529" s="6" t="s">
        <v>89</v>
      </c>
      <c r="D529" s="6" t="s">
        <v>90</v>
      </c>
      <c r="E529" s="7">
        <v>45473</v>
      </c>
      <c r="F529" s="8" t="s">
        <v>18</v>
      </c>
      <c r="G529" s="8" t="s">
        <v>18</v>
      </c>
      <c r="I529" s="6" t="s">
        <v>2639</v>
      </c>
      <c r="J529" s="6" t="s">
        <v>2644</v>
      </c>
    </row>
    <row r="530" spans="1:10" ht="360" x14ac:dyDescent="0.25">
      <c r="A530" s="6" t="str">
        <f>HYPERLINK("https://grants.gov/search-results-detail/350821","RFA-NR-24-002")</f>
        <v>RFA-NR-24-002</v>
      </c>
      <c r="B530" s="6" t="s">
        <v>2143</v>
      </c>
      <c r="C530" s="6" t="s">
        <v>89</v>
      </c>
      <c r="D530" s="6" t="s">
        <v>90</v>
      </c>
      <c r="E530" s="7">
        <v>45474</v>
      </c>
      <c r="F530" s="8">
        <v>250000</v>
      </c>
      <c r="G530" s="8" t="s">
        <v>18</v>
      </c>
      <c r="I530" s="6" t="s">
        <v>2144</v>
      </c>
      <c r="J530" s="6" t="s">
        <v>2145</v>
      </c>
    </row>
    <row r="531" spans="1:10" ht="255" x14ac:dyDescent="0.25">
      <c r="A531" s="6" t="str">
        <f>HYPERLINK("https://grants.gov/search-results-detail/339332","RFA-OD-22-008")</f>
        <v>RFA-OD-22-008</v>
      </c>
      <c r="B531" s="6" t="s">
        <v>2513</v>
      </c>
      <c r="C531" s="6" t="s">
        <v>89</v>
      </c>
      <c r="D531" s="6" t="s">
        <v>90</v>
      </c>
      <c r="E531" s="7">
        <v>45474</v>
      </c>
      <c r="F531" s="8">
        <v>1000000</v>
      </c>
      <c r="G531" s="8" t="s">
        <v>18</v>
      </c>
      <c r="I531" s="6" t="s">
        <v>2514</v>
      </c>
      <c r="J531" s="6" t="s">
        <v>2515</v>
      </c>
    </row>
    <row r="532" spans="1:10" ht="409.5" x14ac:dyDescent="0.25">
      <c r="A532" s="6" t="str">
        <f>HYPERLINK("https://grants.gov/search-results-detail/339251","RFA-OD-22-009")</f>
        <v>RFA-OD-22-009</v>
      </c>
      <c r="B532" s="6" t="s">
        <v>2516</v>
      </c>
      <c r="C532" s="6" t="s">
        <v>89</v>
      </c>
      <c r="D532" s="6" t="s">
        <v>90</v>
      </c>
      <c r="E532" s="7">
        <v>45474</v>
      </c>
      <c r="F532" s="8">
        <v>6000000</v>
      </c>
      <c r="G532" s="8" t="s">
        <v>18</v>
      </c>
      <c r="I532" s="6" t="s">
        <v>2517</v>
      </c>
      <c r="J532" s="6" t="s">
        <v>2518</v>
      </c>
    </row>
    <row r="533" spans="1:10" ht="330" x14ac:dyDescent="0.25">
      <c r="A533" s="6" t="str">
        <f>HYPERLINK("https://grants.gov/search-results-detail/339232","RFA-OD-22-010")</f>
        <v>RFA-OD-22-010</v>
      </c>
      <c r="B533" s="6" t="s">
        <v>2519</v>
      </c>
      <c r="C533" s="6" t="s">
        <v>89</v>
      </c>
      <c r="D533" s="6" t="s">
        <v>90</v>
      </c>
      <c r="E533" s="7">
        <v>45474</v>
      </c>
      <c r="F533" s="8" t="s">
        <v>18</v>
      </c>
      <c r="G533" s="8" t="s">
        <v>18</v>
      </c>
      <c r="I533" s="6" t="s">
        <v>2520</v>
      </c>
      <c r="J533" s="6" t="s">
        <v>2521</v>
      </c>
    </row>
    <row r="534" spans="1:10" ht="345" x14ac:dyDescent="0.25">
      <c r="A534" s="6" t="str">
        <f>HYPERLINK("https://grants.gov/search-results-detail/339250","RFA-OD-22-007")</f>
        <v>RFA-OD-22-007</v>
      </c>
      <c r="B534" s="6" t="s">
        <v>2522</v>
      </c>
      <c r="C534" s="6" t="s">
        <v>89</v>
      </c>
      <c r="D534" s="6" t="s">
        <v>90</v>
      </c>
      <c r="E534" s="7">
        <v>45474</v>
      </c>
      <c r="F534" s="8">
        <v>275000</v>
      </c>
      <c r="G534" s="8" t="s">
        <v>18</v>
      </c>
      <c r="I534" s="6" t="s">
        <v>2523</v>
      </c>
      <c r="J534" s="6" t="s">
        <v>2524</v>
      </c>
    </row>
    <row r="535" spans="1:10" ht="409.5" x14ac:dyDescent="0.25">
      <c r="A535" s="6" t="str">
        <f>HYPERLINK("https://grants.gov/search-results-detail/352546","RFA-AG-25-002")</f>
        <v>RFA-AG-25-002</v>
      </c>
      <c r="B535" s="6" t="s">
        <v>1809</v>
      </c>
      <c r="C535" s="6" t="s">
        <v>89</v>
      </c>
      <c r="D535" s="6" t="s">
        <v>90</v>
      </c>
      <c r="E535" s="7">
        <v>45475</v>
      </c>
      <c r="F535" s="8" t="s">
        <v>18</v>
      </c>
      <c r="G535" s="8" t="s">
        <v>18</v>
      </c>
      <c r="I535" s="6" t="s">
        <v>1127</v>
      </c>
      <c r="J535" s="6" t="s">
        <v>1810</v>
      </c>
    </row>
    <row r="536" spans="1:10" ht="345" x14ac:dyDescent="0.25">
      <c r="A536" s="6" t="str">
        <f>HYPERLINK("https://grants.gov/search-results-detail/347651","RFA-CA-23-029")</f>
        <v>RFA-CA-23-029</v>
      </c>
      <c r="B536" s="6" t="s">
        <v>2329</v>
      </c>
      <c r="C536" s="6" t="s">
        <v>89</v>
      </c>
      <c r="D536" s="6" t="s">
        <v>90</v>
      </c>
      <c r="E536" s="7">
        <v>45476</v>
      </c>
      <c r="F536" s="8">
        <v>500000</v>
      </c>
      <c r="G536" s="8" t="s">
        <v>18</v>
      </c>
      <c r="I536" s="6" t="s">
        <v>2330</v>
      </c>
      <c r="J536" s="6" t="s">
        <v>2331</v>
      </c>
    </row>
    <row r="537" spans="1:10" ht="315" x14ac:dyDescent="0.25">
      <c r="A537" s="6" t="str">
        <f>HYPERLINK("https://grants.gov/search-results-detail/345275","PAR-23-093")</f>
        <v>PAR-23-093</v>
      </c>
      <c r="B537" s="6" t="s">
        <v>2412</v>
      </c>
      <c r="C537" s="6" t="s">
        <v>89</v>
      </c>
      <c r="D537" s="6" t="s">
        <v>90</v>
      </c>
      <c r="E537" s="7">
        <v>45478</v>
      </c>
      <c r="F537" s="8" t="s">
        <v>18</v>
      </c>
      <c r="G537" s="8" t="s">
        <v>18</v>
      </c>
      <c r="I537" s="6" t="s">
        <v>1152</v>
      </c>
      <c r="J537" s="6" t="s">
        <v>2413</v>
      </c>
    </row>
    <row r="538" spans="1:10" ht="345" x14ac:dyDescent="0.25">
      <c r="A538" s="6" t="str">
        <f>HYPERLINK("https://grants.gov/search-results-detail/345276","PAR-23-092")</f>
        <v>PAR-23-092</v>
      </c>
      <c r="B538" s="6" t="s">
        <v>2414</v>
      </c>
      <c r="C538" s="6" t="s">
        <v>89</v>
      </c>
      <c r="D538" s="6" t="s">
        <v>90</v>
      </c>
      <c r="E538" s="7">
        <v>45478</v>
      </c>
      <c r="F538" s="8" t="s">
        <v>18</v>
      </c>
      <c r="G538" s="8" t="s">
        <v>18</v>
      </c>
      <c r="I538" s="6" t="s">
        <v>2415</v>
      </c>
      <c r="J538" s="6" t="s">
        <v>2416</v>
      </c>
    </row>
    <row r="539" spans="1:10" ht="240" x14ac:dyDescent="0.25">
      <c r="A539" s="6" t="str">
        <f>HYPERLINK("https://grants.gov/search-results-detail/345280","PAR-23-095")</f>
        <v>PAR-23-095</v>
      </c>
      <c r="B539" s="6" t="s">
        <v>2417</v>
      </c>
      <c r="C539" s="6" t="s">
        <v>89</v>
      </c>
      <c r="D539" s="6" t="s">
        <v>90</v>
      </c>
      <c r="E539" s="7">
        <v>45478</v>
      </c>
      <c r="F539" s="8" t="s">
        <v>18</v>
      </c>
      <c r="G539" s="8" t="s">
        <v>18</v>
      </c>
      <c r="I539" s="6" t="s">
        <v>2418</v>
      </c>
      <c r="J539" s="6" t="s">
        <v>2419</v>
      </c>
    </row>
    <row r="540" spans="1:10" ht="409.5" x14ac:dyDescent="0.25">
      <c r="A540" s="6" t="str">
        <f>HYPERLINK("https://grants.gov/search-results-detail/345279","PAR-23-094")</f>
        <v>PAR-23-094</v>
      </c>
      <c r="B540" s="6" t="s">
        <v>2420</v>
      </c>
      <c r="C540" s="6" t="s">
        <v>89</v>
      </c>
      <c r="D540" s="6" t="s">
        <v>90</v>
      </c>
      <c r="E540" s="7">
        <v>45478</v>
      </c>
      <c r="F540" s="8" t="s">
        <v>18</v>
      </c>
      <c r="G540" s="8" t="s">
        <v>18</v>
      </c>
      <c r="I540" s="6" t="s">
        <v>2415</v>
      </c>
      <c r="J540" s="6" t="s">
        <v>2421</v>
      </c>
    </row>
    <row r="541" spans="1:10" ht="409.5" x14ac:dyDescent="0.25">
      <c r="A541" s="6" t="str">
        <f>HYPERLINK("https://grants.gov/search-results-detail/352976","RFA-OD-24-014")</f>
        <v>RFA-OD-24-014</v>
      </c>
      <c r="B541" s="6" t="s">
        <v>1590</v>
      </c>
      <c r="C541" s="6" t="s">
        <v>89</v>
      </c>
      <c r="D541" s="6" t="s">
        <v>90</v>
      </c>
      <c r="E541" s="7">
        <v>45481</v>
      </c>
      <c r="F541" s="8">
        <v>1500000</v>
      </c>
      <c r="G541" s="8" t="s">
        <v>18</v>
      </c>
      <c r="I541" s="6" t="s">
        <v>1591</v>
      </c>
      <c r="J541" s="6" t="s">
        <v>1592</v>
      </c>
    </row>
    <row r="542" spans="1:10" ht="330" x14ac:dyDescent="0.25">
      <c r="A542" s="6" t="str">
        <f>HYPERLINK("https://grants.gov/search-results-detail/352967","RFA-AT-24-007")</f>
        <v>RFA-AT-24-007</v>
      </c>
      <c r="B542" s="6" t="s">
        <v>1596</v>
      </c>
      <c r="C542" s="6" t="s">
        <v>89</v>
      </c>
      <c r="D542" s="6" t="s">
        <v>90</v>
      </c>
      <c r="E542" s="7">
        <v>45481</v>
      </c>
      <c r="F542" s="8">
        <v>350000</v>
      </c>
      <c r="G542" s="8" t="s">
        <v>18</v>
      </c>
      <c r="I542" s="6" t="s">
        <v>1597</v>
      </c>
      <c r="J542" s="6" t="s">
        <v>1598</v>
      </c>
    </row>
    <row r="543" spans="1:10" ht="409.5" x14ac:dyDescent="0.25">
      <c r="A543" s="6" t="str">
        <f>HYPERLINK("https://grants.gov/search-results-detail/353307","RFA-DK-23-007")</f>
        <v>RFA-DK-23-007</v>
      </c>
      <c r="B543" s="6" t="s">
        <v>1075</v>
      </c>
      <c r="C543" s="6" t="s">
        <v>89</v>
      </c>
      <c r="D543" s="6" t="s">
        <v>90</v>
      </c>
      <c r="E543" s="7">
        <v>45482</v>
      </c>
      <c r="F543" s="8">
        <v>550000</v>
      </c>
      <c r="G543" s="8" t="s">
        <v>18</v>
      </c>
      <c r="I543" s="6" t="s">
        <v>1076</v>
      </c>
      <c r="J543" s="6" t="s">
        <v>1077</v>
      </c>
    </row>
    <row r="544" spans="1:10" ht="409.5" x14ac:dyDescent="0.25">
      <c r="A544" s="6" t="str">
        <f>HYPERLINK("https://grants.gov/search-results-detail/351557","RFA-DA-25-028")</f>
        <v>RFA-DA-25-028</v>
      </c>
      <c r="B544" s="6" t="s">
        <v>2039</v>
      </c>
      <c r="C544" s="6" t="s">
        <v>89</v>
      </c>
      <c r="D544" s="6" t="s">
        <v>90</v>
      </c>
      <c r="E544" s="7">
        <v>45482</v>
      </c>
      <c r="F544" s="8" t="s">
        <v>18</v>
      </c>
      <c r="G544" s="8" t="s">
        <v>18</v>
      </c>
      <c r="I544" s="6" t="s">
        <v>1152</v>
      </c>
      <c r="J544" s="6" t="s">
        <v>2040</v>
      </c>
    </row>
    <row r="545" spans="1:10" ht="409.5" x14ac:dyDescent="0.25">
      <c r="A545" s="6" t="str">
        <f>HYPERLINK("https://grants.gov/search-results-detail/336071","PAR-22-034")</f>
        <v>PAR-22-034</v>
      </c>
      <c r="B545" s="6" t="s">
        <v>2591</v>
      </c>
      <c r="C545" s="6" t="s">
        <v>89</v>
      </c>
      <c r="D545" s="6" t="s">
        <v>90</v>
      </c>
      <c r="E545" s="7">
        <v>45485</v>
      </c>
      <c r="F545" s="8" t="s">
        <v>18</v>
      </c>
      <c r="G545" s="8" t="s">
        <v>18</v>
      </c>
      <c r="I545" s="6" t="s">
        <v>2592</v>
      </c>
      <c r="J545" s="6" t="s">
        <v>2593</v>
      </c>
    </row>
    <row r="546" spans="1:10" ht="285" x14ac:dyDescent="0.25">
      <c r="A546" s="6" t="str">
        <f>HYPERLINK("https://grants.gov/search-results-detail/336101","PAR-22-040")</f>
        <v>PAR-22-040</v>
      </c>
      <c r="B546" s="6" t="s">
        <v>2594</v>
      </c>
      <c r="C546" s="6" t="s">
        <v>89</v>
      </c>
      <c r="D546" s="6" t="s">
        <v>90</v>
      </c>
      <c r="E546" s="7">
        <v>45485</v>
      </c>
      <c r="F546" s="8" t="s">
        <v>18</v>
      </c>
      <c r="G546" s="8" t="s">
        <v>18</v>
      </c>
      <c r="I546" s="6" t="s">
        <v>2592</v>
      </c>
      <c r="J546" s="6" t="s">
        <v>2595</v>
      </c>
    </row>
    <row r="547" spans="1:10" ht="315" x14ac:dyDescent="0.25">
      <c r="A547" s="6" t="str">
        <f>HYPERLINK("https://grants.gov/search-results-detail/335640","PAR-21-328")</f>
        <v>PAR-21-328</v>
      </c>
      <c r="B547" s="6" t="s">
        <v>2620</v>
      </c>
      <c r="C547" s="6" t="s">
        <v>89</v>
      </c>
      <c r="D547" s="6" t="s">
        <v>90</v>
      </c>
      <c r="E547" s="7">
        <v>45485</v>
      </c>
      <c r="F547" s="8" t="s">
        <v>18</v>
      </c>
      <c r="G547" s="8" t="s">
        <v>18</v>
      </c>
      <c r="I547" s="6" t="s">
        <v>2621</v>
      </c>
      <c r="J547" s="6" t="s">
        <v>2622</v>
      </c>
    </row>
    <row r="548" spans="1:10" ht="360" x14ac:dyDescent="0.25">
      <c r="A548" s="6" t="str">
        <f>HYPERLINK("https://grants.gov/search-results-detail/335534","PAR-22-022")</f>
        <v>PAR-22-022</v>
      </c>
      <c r="B548" s="6" t="s">
        <v>2635</v>
      </c>
      <c r="C548" s="6" t="s">
        <v>89</v>
      </c>
      <c r="D548" s="6" t="s">
        <v>90</v>
      </c>
      <c r="E548" s="7">
        <v>45485</v>
      </c>
      <c r="F548" s="8" t="s">
        <v>18</v>
      </c>
      <c r="G548" s="8" t="s">
        <v>18</v>
      </c>
      <c r="I548" s="6" t="s">
        <v>2636</v>
      </c>
      <c r="J548" s="6" t="s">
        <v>2637</v>
      </c>
    </row>
    <row r="549" spans="1:10" ht="315" x14ac:dyDescent="0.25">
      <c r="A549" s="6" t="str">
        <f>HYPERLINK("https://grants.gov/search-results-detail/333880","PAR-21-220")</f>
        <v>PAR-21-220</v>
      </c>
      <c r="B549" s="6" t="s">
        <v>2666</v>
      </c>
      <c r="C549" s="6" t="s">
        <v>89</v>
      </c>
      <c r="D549" s="6" t="s">
        <v>90</v>
      </c>
      <c r="E549" s="7">
        <v>45485</v>
      </c>
      <c r="F549" s="8" t="s">
        <v>18</v>
      </c>
      <c r="G549" s="8" t="s">
        <v>18</v>
      </c>
      <c r="I549" s="6" t="s">
        <v>2667</v>
      </c>
      <c r="J549" s="6" t="s">
        <v>2668</v>
      </c>
    </row>
    <row r="550" spans="1:10" ht="300" x14ac:dyDescent="0.25">
      <c r="A550" s="6" t="str">
        <f>HYPERLINK("https://grants.gov/search-results-detail/341543","RFA-TR-22-030")</f>
        <v>RFA-TR-22-030</v>
      </c>
      <c r="B550" s="6" t="s">
        <v>2481</v>
      </c>
      <c r="C550" s="6" t="s">
        <v>89</v>
      </c>
      <c r="D550" s="6" t="s">
        <v>90</v>
      </c>
      <c r="E550" s="7">
        <v>45488</v>
      </c>
      <c r="F550" s="8">
        <v>100000</v>
      </c>
      <c r="G550" s="8" t="s">
        <v>18</v>
      </c>
      <c r="I550" s="6" t="s">
        <v>2482</v>
      </c>
      <c r="J550" s="6" t="s">
        <v>2483</v>
      </c>
    </row>
    <row r="551" spans="1:10" ht="409.5" x14ac:dyDescent="0.25">
      <c r="A551" s="6" t="str">
        <f>HYPERLINK("https://grants.gov/search-results-detail/339099","RFA-NS-22-038")</f>
        <v>RFA-NS-22-038</v>
      </c>
      <c r="B551" s="6" t="s">
        <v>2527</v>
      </c>
      <c r="C551" s="6" t="s">
        <v>89</v>
      </c>
      <c r="D551" s="6" t="s">
        <v>90</v>
      </c>
      <c r="E551" s="7">
        <v>45488</v>
      </c>
      <c r="F551" s="8" t="s">
        <v>18</v>
      </c>
      <c r="G551" s="8" t="s">
        <v>18</v>
      </c>
      <c r="I551" s="6" t="s">
        <v>2528</v>
      </c>
      <c r="J551" s="6" t="s">
        <v>2529</v>
      </c>
    </row>
    <row r="552" spans="1:10" ht="409.5" x14ac:dyDescent="0.25">
      <c r="A552" s="6" t="str">
        <f>HYPERLINK("https://grants.gov/search-results-detail/338640","PAR-22-104")</f>
        <v>PAR-22-104</v>
      </c>
      <c r="B552" s="6" t="s">
        <v>2536</v>
      </c>
      <c r="C552" s="6" t="s">
        <v>89</v>
      </c>
      <c r="D552" s="6" t="s">
        <v>90</v>
      </c>
      <c r="E552" s="7">
        <v>45488</v>
      </c>
      <c r="F552" s="8" t="s">
        <v>18</v>
      </c>
      <c r="G552" s="8" t="s">
        <v>18</v>
      </c>
      <c r="I552" s="6" t="s">
        <v>2517</v>
      </c>
      <c r="J552" s="6" t="s">
        <v>2537</v>
      </c>
    </row>
    <row r="553" spans="1:10" ht="375" x14ac:dyDescent="0.25">
      <c r="A553" s="6" t="str">
        <f>HYPERLINK("https://grants.gov/search-results-detail/353706","RFA-DK-25-010")</f>
        <v>RFA-DK-25-010</v>
      </c>
      <c r="B553" s="6" t="s">
        <v>360</v>
      </c>
      <c r="C553" s="6" t="s">
        <v>89</v>
      </c>
      <c r="D553" s="6" t="s">
        <v>90</v>
      </c>
      <c r="E553" s="7">
        <v>45490</v>
      </c>
      <c r="F553" s="8">
        <v>750000</v>
      </c>
      <c r="G553" s="8" t="s">
        <v>18</v>
      </c>
      <c r="I553" s="6" t="s">
        <v>361</v>
      </c>
      <c r="J553" s="6" t="s">
        <v>362</v>
      </c>
    </row>
    <row r="554" spans="1:10" ht="315" x14ac:dyDescent="0.25">
      <c r="A554" s="6" t="str">
        <f>HYPERLINK("https://grants.gov/search-results-detail/353312","RFA-DK-24-002")</f>
        <v>RFA-DK-24-002</v>
      </c>
      <c r="B554" s="6" t="s">
        <v>1064</v>
      </c>
      <c r="C554" s="6" t="s">
        <v>89</v>
      </c>
      <c r="D554" s="6" t="s">
        <v>90</v>
      </c>
      <c r="E554" s="7">
        <v>45490</v>
      </c>
      <c r="F554" s="8">
        <v>500000</v>
      </c>
      <c r="G554" s="8" t="s">
        <v>18</v>
      </c>
      <c r="I554" s="6" t="s">
        <v>1065</v>
      </c>
      <c r="J554" s="6" t="s">
        <v>1066</v>
      </c>
    </row>
    <row r="555" spans="1:10" ht="240" x14ac:dyDescent="0.25">
      <c r="A555" s="6" t="str">
        <f>HYPERLINK("https://grants.gov/search-results-detail/352519","RFA-DA-25-043")</f>
        <v>RFA-DA-25-043</v>
      </c>
      <c r="B555" s="6" t="s">
        <v>1814</v>
      </c>
      <c r="C555" s="6" t="s">
        <v>89</v>
      </c>
      <c r="D555" s="6" t="s">
        <v>90</v>
      </c>
      <c r="E555" s="7">
        <v>45490</v>
      </c>
      <c r="F555" s="8">
        <v>350000</v>
      </c>
      <c r="G555" s="8" t="s">
        <v>18</v>
      </c>
      <c r="I555" s="6" t="s">
        <v>1815</v>
      </c>
      <c r="J555" s="6" t="s">
        <v>1816</v>
      </c>
    </row>
    <row r="556" spans="1:10" ht="375" x14ac:dyDescent="0.25">
      <c r="A556" s="6" t="str">
        <f>HYPERLINK("https://grants.gov/search-results-detail/353422","RFA-TR-24-021")</f>
        <v>RFA-TR-24-021</v>
      </c>
      <c r="B556" s="6" t="s">
        <v>872</v>
      </c>
      <c r="C556" s="6" t="s">
        <v>89</v>
      </c>
      <c r="D556" s="6" t="s">
        <v>90</v>
      </c>
      <c r="E556" s="7">
        <v>45495</v>
      </c>
      <c r="F556" s="8" t="s">
        <v>18</v>
      </c>
      <c r="G556" s="8" t="s">
        <v>18</v>
      </c>
      <c r="I556" s="6" t="s">
        <v>873</v>
      </c>
      <c r="J556" s="6" t="s">
        <v>874</v>
      </c>
    </row>
    <row r="557" spans="1:10" ht="285" x14ac:dyDescent="0.25">
      <c r="A557" s="6" t="str">
        <f>HYPERLINK("https://grants.gov/search-results-detail/353788","RFA-HD-25-009")</f>
        <v>RFA-HD-25-009</v>
      </c>
      <c r="B557" s="6" t="s">
        <v>308</v>
      </c>
      <c r="C557" s="6" t="s">
        <v>89</v>
      </c>
      <c r="D557" s="6" t="s">
        <v>90</v>
      </c>
      <c r="E557" s="7">
        <v>45497</v>
      </c>
      <c r="F557" s="8">
        <v>275000</v>
      </c>
      <c r="G557" s="8" t="s">
        <v>18</v>
      </c>
      <c r="I557" s="6" t="s">
        <v>113</v>
      </c>
      <c r="J557" s="6" t="s">
        <v>309</v>
      </c>
    </row>
    <row r="558" spans="1:10" ht="255" x14ac:dyDescent="0.25">
      <c r="A558" s="6" t="str">
        <f>HYPERLINK("https://grants.gov/search-results-detail/353126","RFA-RM-24-007")</f>
        <v>RFA-RM-24-007</v>
      </c>
      <c r="B558" s="6" t="s">
        <v>1369</v>
      </c>
      <c r="C558" s="6" t="s">
        <v>89</v>
      </c>
      <c r="D558" s="6" t="s">
        <v>90</v>
      </c>
      <c r="E558" s="7">
        <v>45499</v>
      </c>
      <c r="F558" s="8" t="s">
        <v>18</v>
      </c>
      <c r="G558" s="8" t="s">
        <v>18</v>
      </c>
      <c r="I558" s="6" t="s">
        <v>1152</v>
      </c>
      <c r="J558" s="6" t="s">
        <v>1370</v>
      </c>
    </row>
    <row r="559" spans="1:10" ht="345" x14ac:dyDescent="0.25">
      <c r="A559" s="6" t="str">
        <f>HYPERLINK("https://grants.gov/search-results-detail/350067","RFA-NR-24-001")</f>
        <v>RFA-NR-24-001</v>
      </c>
      <c r="B559" s="6" t="s">
        <v>2190</v>
      </c>
      <c r="C559" s="6" t="s">
        <v>89</v>
      </c>
      <c r="D559" s="6" t="s">
        <v>90</v>
      </c>
      <c r="E559" s="7">
        <v>45499</v>
      </c>
      <c r="F559" s="8">
        <v>500000</v>
      </c>
      <c r="G559" s="8" t="s">
        <v>18</v>
      </c>
      <c r="I559" s="6" t="s">
        <v>2191</v>
      </c>
      <c r="J559" s="6" t="s">
        <v>2192</v>
      </c>
    </row>
    <row r="560" spans="1:10" ht="360" x14ac:dyDescent="0.25">
      <c r="A560" s="6" t="str">
        <f>HYPERLINK("https://grants.gov/search-results-detail/353440","RFA-AI-24-013")</f>
        <v>RFA-AI-24-013</v>
      </c>
      <c r="B560" s="6" t="s">
        <v>847</v>
      </c>
      <c r="C560" s="6" t="s">
        <v>89</v>
      </c>
      <c r="D560" s="6" t="s">
        <v>90</v>
      </c>
      <c r="E560" s="7">
        <v>45503</v>
      </c>
      <c r="F560" s="8" t="s">
        <v>18</v>
      </c>
      <c r="G560" s="8" t="s">
        <v>18</v>
      </c>
      <c r="I560" s="6" t="s">
        <v>848</v>
      </c>
      <c r="J560" s="6" t="s">
        <v>849</v>
      </c>
    </row>
    <row r="561" spans="1:10" ht="405" x14ac:dyDescent="0.25">
      <c r="A561" s="6" t="str">
        <f>HYPERLINK("https://grants.gov/search-results-detail/353376","RFA-HD-25-001")</f>
        <v>RFA-HD-25-001</v>
      </c>
      <c r="B561" s="6" t="s">
        <v>982</v>
      </c>
      <c r="C561" s="6" t="s">
        <v>89</v>
      </c>
      <c r="D561" s="6" t="s">
        <v>90</v>
      </c>
      <c r="E561" s="7">
        <v>45503</v>
      </c>
      <c r="F561" s="8" t="s">
        <v>18</v>
      </c>
      <c r="G561" s="8" t="s">
        <v>18</v>
      </c>
      <c r="I561" s="6" t="s">
        <v>983</v>
      </c>
      <c r="J561" s="6" t="s">
        <v>984</v>
      </c>
    </row>
    <row r="562" spans="1:10" ht="409.5" x14ac:dyDescent="0.25">
      <c r="A562" s="6" t="str">
        <f>HYPERLINK("https://grants.gov/search-results-detail/353259","RFA-AI-24-009")</f>
        <v>RFA-AI-24-009</v>
      </c>
      <c r="B562" s="6" t="s">
        <v>1149</v>
      </c>
      <c r="C562" s="6" t="s">
        <v>89</v>
      </c>
      <c r="D562" s="6" t="s">
        <v>90</v>
      </c>
      <c r="E562" s="7">
        <v>45503</v>
      </c>
      <c r="F562" s="8" t="s">
        <v>18</v>
      </c>
      <c r="G562" s="8" t="s">
        <v>18</v>
      </c>
      <c r="I562" s="6" t="s">
        <v>113</v>
      </c>
      <c r="J562" s="6" t="s">
        <v>1150</v>
      </c>
    </row>
    <row r="563" spans="1:10" ht="255" x14ac:dyDescent="0.25">
      <c r="A563" s="6" t="str">
        <f>HYPERLINK("https://grants.gov/search-results-detail/353260","RFA-AI-24-018")</f>
        <v>RFA-AI-24-018</v>
      </c>
      <c r="B563" s="6" t="s">
        <v>1151</v>
      </c>
      <c r="C563" s="6" t="s">
        <v>89</v>
      </c>
      <c r="D563" s="6" t="s">
        <v>90</v>
      </c>
      <c r="E563" s="7">
        <v>45503</v>
      </c>
      <c r="F563" s="8" t="s">
        <v>18</v>
      </c>
      <c r="G563" s="8" t="s">
        <v>18</v>
      </c>
      <c r="I563" s="6" t="s">
        <v>1152</v>
      </c>
      <c r="J563" s="6" t="s">
        <v>1153</v>
      </c>
    </row>
    <row r="564" spans="1:10" ht="240" x14ac:dyDescent="0.25">
      <c r="A564" s="6" t="str">
        <f>HYPERLINK("https://grants.gov/search-results-detail/353244","RFA-AI-24-008")</f>
        <v>RFA-AI-24-008</v>
      </c>
      <c r="B564" s="6" t="s">
        <v>1195</v>
      </c>
      <c r="C564" s="6" t="s">
        <v>89</v>
      </c>
      <c r="D564" s="6" t="s">
        <v>90</v>
      </c>
      <c r="E564" s="7">
        <v>45503</v>
      </c>
      <c r="F564" s="8" t="s">
        <v>18</v>
      </c>
      <c r="G564" s="8" t="s">
        <v>18</v>
      </c>
      <c r="I564" s="6" t="s">
        <v>1196</v>
      </c>
      <c r="J564" s="6" t="s">
        <v>1197</v>
      </c>
    </row>
    <row r="565" spans="1:10" ht="375" x14ac:dyDescent="0.25">
      <c r="A565" s="6" t="str">
        <f>HYPERLINK("https://grants.gov/search-results-detail/353103","RFA-AI-24-011")</f>
        <v>RFA-AI-24-011</v>
      </c>
      <c r="B565" s="6" t="s">
        <v>1398</v>
      </c>
      <c r="C565" s="6" t="s">
        <v>89</v>
      </c>
      <c r="D565" s="6" t="s">
        <v>90</v>
      </c>
      <c r="E565" s="7">
        <v>45503</v>
      </c>
      <c r="F565" s="8">
        <v>2000000</v>
      </c>
      <c r="G565" s="8" t="s">
        <v>18</v>
      </c>
      <c r="I565" s="6" t="s">
        <v>1399</v>
      </c>
      <c r="J565" s="6" t="s">
        <v>1400</v>
      </c>
    </row>
    <row r="566" spans="1:10" ht="255" x14ac:dyDescent="0.25">
      <c r="A566" s="6" t="str">
        <f>HYPERLINK("https://grants.gov/search-results-detail/353073","RFA-HD-25-004")</f>
        <v>RFA-HD-25-004</v>
      </c>
      <c r="B566" s="6" t="s">
        <v>1426</v>
      </c>
      <c r="C566" s="6" t="s">
        <v>89</v>
      </c>
      <c r="D566" s="6" t="s">
        <v>90</v>
      </c>
      <c r="E566" s="7">
        <v>45503</v>
      </c>
      <c r="F566" s="8" t="s">
        <v>18</v>
      </c>
      <c r="G566" s="8" t="s">
        <v>18</v>
      </c>
      <c r="I566" s="6" t="s">
        <v>1427</v>
      </c>
      <c r="J566" s="6" t="s">
        <v>1428</v>
      </c>
    </row>
    <row r="567" spans="1:10" ht="315" x14ac:dyDescent="0.25">
      <c r="A567" s="6" t="str">
        <f>HYPERLINK("https://grants.gov/search-results-detail/352933","RFA-AI-23-077")</f>
        <v>RFA-AI-23-077</v>
      </c>
      <c r="B567" s="6" t="s">
        <v>1655</v>
      </c>
      <c r="C567" s="6" t="s">
        <v>89</v>
      </c>
      <c r="D567" s="6" t="s">
        <v>90</v>
      </c>
      <c r="E567" s="7">
        <v>45503</v>
      </c>
      <c r="F567" s="8" t="s">
        <v>18</v>
      </c>
      <c r="G567" s="8" t="s">
        <v>18</v>
      </c>
      <c r="I567" s="6" t="s">
        <v>1656</v>
      </c>
      <c r="J567" s="6" t="s">
        <v>1657</v>
      </c>
    </row>
    <row r="568" spans="1:10" ht="240" x14ac:dyDescent="0.25">
      <c r="A568" s="6" t="str">
        <f>HYPERLINK("https://grants.gov/search-results-detail/352698","RFA-DK-25-013")</f>
        <v>RFA-DK-25-013</v>
      </c>
      <c r="B568" s="6" t="s">
        <v>1756</v>
      </c>
      <c r="C568" s="6" t="s">
        <v>89</v>
      </c>
      <c r="D568" s="6" t="s">
        <v>90</v>
      </c>
      <c r="E568" s="7">
        <v>45503</v>
      </c>
      <c r="F568" s="8" t="s">
        <v>18</v>
      </c>
      <c r="G568" s="8" t="s">
        <v>18</v>
      </c>
      <c r="I568" s="6" t="s">
        <v>1196</v>
      </c>
      <c r="J568" s="6" t="s">
        <v>1757</v>
      </c>
    </row>
    <row r="569" spans="1:10" ht="285" x14ac:dyDescent="0.25">
      <c r="A569" s="6" t="str">
        <f>HYPERLINK("https://grants.gov/search-results-detail/335593","RFA-DA-22-040")</f>
        <v>RFA-DA-22-040</v>
      </c>
      <c r="B569" s="6" t="s">
        <v>2632</v>
      </c>
      <c r="C569" s="6" t="s">
        <v>89</v>
      </c>
      <c r="D569" s="6" t="s">
        <v>90</v>
      </c>
      <c r="E569" s="7">
        <v>45506</v>
      </c>
      <c r="F569" s="8" t="s">
        <v>18</v>
      </c>
      <c r="G569" s="8" t="s">
        <v>18</v>
      </c>
      <c r="I569" s="6" t="s">
        <v>2633</v>
      </c>
      <c r="J569" s="6" t="s">
        <v>2634</v>
      </c>
    </row>
    <row r="570" spans="1:10" ht="409.5" x14ac:dyDescent="0.25">
      <c r="A570" s="6" t="str">
        <f>HYPERLINK("https://grants.gov/search-results-detail/350886","PAR-24-053")</f>
        <v>PAR-24-053</v>
      </c>
      <c r="B570" s="6" t="s">
        <v>2126</v>
      </c>
      <c r="C570" s="6" t="s">
        <v>89</v>
      </c>
      <c r="D570" s="6" t="s">
        <v>90</v>
      </c>
      <c r="E570" s="7">
        <v>45509</v>
      </c>
      <c r="F570" s="8" t="s">
        <v>18</v>
      </c>
      <c r="G570" s="8" t="s">
        <v>18</v>
      </c>
      <c r="I570" s="6" t="s">
        <v>2127</v>
      </c>
      <c r="J570" s="6" t="s">
        <v>2128</v>
      </c>
    </row>
    <row r="571" spans="1:10" ht="409.5" x14ac:dyDescent="0.25">
      <c r="A571" s="6" t="str">
        <f>HYPERLINK("https://grants.gov/search-results-detail/350918","RFA-OD-24-006")</f>
        <v>RFA-OD-24-006</v>
      </c>
      <c r="B571" s="6" t="s">
        <v>2129</v>
      </c>
      <c r="C571" s="6" t="s">
        <v>89</v>
      </c>
      <c r="D571" s="6" t="s">
        <v>90</v>
      </c>
      <c r="E571" s="7">
        <v>45509</v>
      </c>
      <c r="F571" s="8">
        <v>1000000</v>
      </c>
      <c r="G571" s="8" t="s">
        <v>18</v>
      </c>
      <c r="I571" s="6" t="s">
        <v>2130</v>
      </c>
      <c r="J571" s="6" t="s">
        <v>2131</v>
      </c>
    </row>
    <row r="572" spans="1:10" ht="255" x14ac:dyDescent="0.25">
      <c r="A572" s="6" t="str">
        <f>HYPERLINK("https://grants.gov/search-results-detail/349938","RFA-DA-25-018")</f>
        <v>RFA-DA-25-018</v>
      </c>
      <c r="B572" s="6" t="s">
        <v>2201</v>
      </c>
      <c r="C572" s="6" t="s">
        <v>89</v>
      </c>
      <c r="D572" s="6" t="s">
        <v>90</v>
      </c>
      <c r="E572" s="7">
        <v>45509</v>
      </c>
      <c r="F572" s="8" t="s">
        <v>18</v>
      </c>
      <c r="G572" s="8" t="s">
        <v>18</v>
      </c>
      <c r="I572" s="6" t="s">
        <v>1216</v>
      </c>
      <c r="J572" s="6" t="s">
        <v>2202</v>
      </c>
    </row>
    <row r="573" spans="1:10" ht="330" x14ac:dyDescent="0.25">
      <c r="A573" s="6" t="str">
        <f>HYPERLINK("https://grants.gov/search-results-detail/333882","PAR-21-218")</f>
        <v>PAR-21-218</v>
      </c>
      <c r="B573" s="6" t="s">
        <v>2662</v>
      </c>
      <c r="C573" s="6" t="s">
        <v>89</v>
      </c>
      <c r="D573" s="6" t="s">
        <v>90</v>
      </c>
      <c r="E573" s="7">
        <v>45512</v>
      </c>
      <c r="F573" s="8" t="s">
        <v>18</v>
      </c>
      <c r="G573" s="8" t="s">
        <v>18</v>
      </c>
      <c r="I573" s="6" t="s">
        <v>2482</v>
      </c>
      <c r="J573" s="6" t="s">
        <v>2663</v>
      </c>
    </row>
    <row r="574" spans="1:10" ht="330" x14ac:dyDescent="0.25">
      <c r="A574" s="6" t="str">
        <f>HYPERLINK("https://grants.gov/search-results-detail/333881","PAR-21-217")</f>
        <v>PAR-21-217</v>
      </c>
      <c r="B574" s="6" t="s">
        <v>2664</v>
      </c>
      <c r="C574" s="6" t="s">
        <v>89</v>
      </c>
      <c r="D574" s="6" t="s">
        <v>90</v>
      </c>
      <c r="E574" s="7">
        <v>45512</v>
      </c>
      <c r="F574" s="8" t="s">
        <v>18</v>
      </c>
      <c r="G574" s="8" t="s">
        <v>18</v>
      </c>
      <c r="I574" s="6" t="s">
        <v>2528</v>
      </c>
      <c r="J574" s="6" t="s">
        <v>2665</v>
      </c>
    </row>
    <row r="575" spans="1:10" ht="345" x14ac:dyDescent="0.25">
      <c r="A575" s="6" t="str">
        <f>HYPERLINK("https://grants.gov/search-results-detail/353310","RFA-AI-24-020")</f>
        <v>RFA-AI-24-020</v>
      </c>
      <c r="B575" s="6" t="s">
        <v>1078</v>
      </c>
      <c r="C575" s="6" t="s">
        <v>89</v>
      </c>
      <c r="D575" s="6" t="s">
        <v>90</v>
      </c>
      <c r="E575" s="7">
        <v>45513</v>
      </c>
      <c r="F575" s="8" t="s">
        <v>18</v>
      </c>
      <c r="G575" s="8" t="s">
        <v>18</v>
      </c>
      <c r="I575" s="6" t="s">
        <v>1079</v>
      </c>
      <c r="J575" s="6" t="s">
        <v>1080</v>
      </c>
    </row>
    <row r="576" spans="1:10" ht="375" x14ac:dyDescent="0.25">
      <c r="A576" s="6" t="str">
        <f>HYPERLINK("https://grants.gov/search-results-detail/353309","RFA-AI-24-019")</f>
        <v>RFA-AI-24-019</v>
      </c>
      <c r="B576" s="6" t="s">
        <v>1081</v>
      </c>
      <c r="C576" s="6" t="s">
        <v>89</v>
      </c>
      <c r="D576" s="6" t="s">
        <v>90</v>
      </c>
      <c r="E576" s="7">
        <v>45513</v>
      </c>
      <c r="F576" s="8" t="s">
        <v>18</v>
      </c>
      <c r="G576" s="8" t="s">
        <v>18</v>
      </c>
      <c r="I576" s="6" t="s">
        <v>1082</v>
      </c>
      <c r="J576" s="6" t="s">
        <v>1080</v>
      </c>
    </row>
    <row r="577" spans="1:10" ht="240" x14ac:dyDescent="0.25">
      <c r="A577" s="6" t="str">
        <f>HYPERLINK("https://grants.gov/search-results-detail/351311","RFA-MH-25-140")</f>
        <v>RFA-MH-25-140</v>
      </c>
      <c r="B577" s="6" t="s">
        <v>2076</v>
      </c>
      <c r="C577" s="6" t="s">
        <v>89</v>
      </c>
      <c r="D577" s="6" t="s">
        <v>90</v>
      </c>
      <c r="E577" s="7">
        <v>45516</v>
      </c>
      <c r="F577" s="8" t="s">
        <v>18</v>
      </c>
      <c r="G577" s="8" t="s">
        <v>18</v>
      </c>
      <c r="I577" s="6" t="s">
        <v>1815</v>
      </c>
      <c r="J577" s="6" t="s">
        <v>2077</v>
      </c>
    </row>
    <row r="578" spans="1:10" ht="300" x14ac:dyDescent="0.25">
      <c r="A578" s="6" t="str">
        <f>HYPERLINK("https://grants.gov/search-results-detail/353853","RFA-MH-25-185")</f>
        <v>RFA-MH-25-185</v>
      </c>
      <c r="B578" s="6" t="s">
        <v>88</v>
      </c>
      <c r="C578" s="6" t="s">
        <v>89</v>
      </c>
      <c r="D578" s="6" t="s">
        <v>90</v>
      </c>
      <c r="E578" s="7">
        <v>45517</v>
      </c>
      <c r="F578" s="8" t="s">
        <v>18</v>
      </c>
      <c r="G578" s="8" t="s">
        <v>18</v>
      </c>
      <c r="I578" s="6" t="s">
        <v>91</v>
      </c>
      <c r="J578" s="6" t="s">
        <v>92</v>
      </c>
    </row>
    <row r="579" spans="1:10" ht="300" x14ac:dyDescent="0.25">
      <c r="A579" s="6" t="str">
        <f>HYPERLINK("https://grants.gov/search-results-detail/353854","RFA-MH-25-186")</f>
        <v>RFA-MH-25-186</v>
      </c>
      <c r="B579" s="6" t="s">
        <v>112</v>
      </c>
      <c r="C579" s="6" t="s">
        <v>89</v>
      </c>
      <c r="D579" s="6" t="s">
        <v>90</v>
      </c>
      <c r="E579" s="7">
        <v>45517</v>
      </c>
      <c r="F579" s="8" t="s">
        <v>18</v>
      </c>
      <c r="G579" s="8" t="s">
        <v>18</v>
      </c>
      <c r="I579" s="6" t="s">
        <v>113</v>
      </c>
      <c r="J579" s="6" t="s">
        <v>114</v>
      </c>
    </row>
    <row r="580" spans="1:10" ht="360" x14ac:dyDescent="0.25">
      <c r="A580" s="6" t="str">
        <f>HYPERLINK("https://grants.gov/search-results-detail/353330","PAR-24-206")</f>
        <v>PAR-24-206</v>
      </c>
      <c r="B580" s="6" t="s">
        <v>1032</v>
      </c>
      <c r="C580" s="6" t="s">
        <v>89</v>
      </c>
      <c r="D580" s="6" t="s">
        <v>90</v>
      </c>
      <c r="E580" s="7">
        <v>45517</v>
      </c>
      <c r="F580" s="8">
        <v>1000000</v>
      </c>
      <c r="G580" s="8" t="s">
        <v>18</v>
      </c>
      <c r="I580" s="6" t="s">
        <v>1033</v>
      </c>
      <c r="J580" s="6" t="s">
        <v>1034</v>
      </c>
    </row>
    <row r="581" spans="1:10" ht="300" x14ac:dyDescent="0.25">
      <c r="A581" s="6" t="str">
        <f>HYPERLINK("https://grants.gov/search-results-detail/351602","RFA-DA-25-007")</f>
        <v>RFA-DA-25-007</v>
      </c>
      <c r="B581" s="6" t="s">
        <v>2028</v>
      </c>
      <c r="C581" s="6" t="s">
        <v>89</v>
      </c>
      <c r="D581" s="6" t="s">
        <v>90</v>
      </c>
      <c r="E581" s="7">
        <v>45517</v>
      </c>
      <c r="F581" s="8">
        <v>400000</v>
      </c>
      <c r="G581" s="8" t="s">
        <v>18</v>
      </c>
      <c r="I581" s="6" t="s">
        <v>1196</v>
      </c>
      <c r="J581" s="6" t="s">
        <v>2029</v>
      </c>
    </row>
    <row r="582" spans="1:10" ht="300" x14ac:dyDescent="0.25">
      <c r="A582" s="6" t="str">
        <f>HYPERLINK("https://grants.gov/search-results-detail/351603","RFA-DA-25-008")</f>
        <v>RFA-DA-25-008</v>
      </c>
      <c r="B582" s="6" t="s">
        <v>2030</v>
      </c>
      <c r="C582" s="6" t="s">
        <v>89</v>
      </c>
      <c r="D582" s="6" t="s">
        <v>90</v>
      </c>
      <c r="E582" s="7">
        <v>45517</v>
      </c>
      <c r="F582" s="8" t="s">
        <v>18</v>
      </c>
      <c r="G582" s="8" t="s">
        <v>18</v>
      </c>
      <c r="I582" s="6" t="s">
        <v>1815</v>
      </c>
      <c r="J582" s="6" t="s">
        <v>2029</v>
      </c>
    </row>
    <row r="583" spans="1:10" ht="255" x14ac:dyDescent="0.25">
      <c r="A583" s="6" t="str">
        <f>HYPERLINK("https://grants.gov/search-results-detail/350274","RFA-DA-25-017")</f>
        <v>RFA-DA-25-017</v>
      </c>
      <c r="B583" s="6" t="s">
        <v>2183</v>
      </c>
      <c r="C583" s="6" t="s">
        <v>89</v>
      </c>
      <c r="D583" s="6" t="s">
        <v>90</v>
      </c>
      <c r="E583" s="7">
        <v>45517</v>
      </c>
      <c r="F583" s="8">
        <v>275000</v>
      </c>
      <c r="G583" s="8" t="s">
        <v>18</v>
      </c>
      <c r="I583" s="6" t="s">
        <v>2184</v>
      </c>
      <c r="J583" s="6" t="s">
        <v>2185</v>
      </c>
    </row>
    <row r="584" spans="1:10" ht="255" x14ac:dyDescent="0.25">
      <c r="A584" s="6" t="str">
        <f>HYPERLINK("https://grants.gov/search-results-detail/350273","RFA-DA-25-016")</f>
        <v>RFA-DA-25-016</v>
      </c>
      <c r="B584" s="6" t="s">
        <v>2186</v>
      </c>
      <c r="C584" s="6" t="s">
        <v>89</v>
      </c>
      <c r="D584" s="6" t="s">
        <v>90</v>
      </c>
      <c r="E584" s="7">
        <v>45517</v>
      </c>
      <c r="F584" s="8">
        <v>350000</v>
      </c>
      <c r="G584" s="8" t="s">
        <v>18</v>
      </c>
      <c r="I584" s="6" t="s">
        <v>2187</v>
      </c>
      <c r="J584" s="6" t="s">
        <v>2185</v>
      </c>
    </row>
    <row r="585" spans="1:10" ht="255" x14ac:dyDescent="0.25">
      <c r="A585" s="6" t="str">
        <f>HYPERLINK("https://grants.gov/search-results-detail/352062","RFA-DA-25-033")</f>
        <v>RFA-DA-25-033</v>
      </c>
      <c r="B585" s="6" t="s">
        <v>1946</v>
      </c>
      <c r="C585" s="6" t="s">
        <v>89</v>
      </c>
      <c r="D585" s="6" t="s">
        <v>90</v>
      </c>
      <c r="E585" s="7">
        <v>45518</v>
      </c>
      <c r="F585" s="8" t="s">
        <v>18</v>
      </c>
      <c r="G585" s="8" t="s">
        <v>18</v>
      </c>
      <c r="I585" s="6" t="s">
        <v>1196</v>
      </c>
      <c r="J585" s="6" t="s">
        <v>1947</v>
      </c>
    </row>
    <row r="586" spans="1:10" ht="300" x14ac:dyDescent="0.25">
      <c r="A586" s="6" t="str">
        <f>HYPERLINK("https://grants.gov/search-results-detail/352058","RFA-DA-25-034")</f>
        <v>RFA-DA-25-034</v>
      </c>
      <c r="B586" s="6" t="s">
        <v>1948</v>
      </c>
      <c r="C586" s="6" t="s">
        <v>89</v>
      </c>
      <c r="D586" s="6" t="s">
        <v>90</v>
      </c>
      <c r="E586" s="7">
        <v>45518</v>
      </c>
      <c r="F586" s="8">
        <v>425000</v>
      </c>
      <c r="G586" s="8" t="s">
        <v>18</v>
      </c>
      <c r="I586" s="6" t="s">
        <v>1152</v>
      </c>
      <c r="J586" s="6" t="s">
        <v>1949</v>
      </c>
    </row>
    <row r="587" spans="1:10" ht="255" x14ac:dyDescent="0.25">
      <c r="A587" s="6" t="str">
        <f>HYPERLINK("https://grants.gov/search-results-detail/352055","RFA-DA-25-032")</f>
        <v>RFA-DA-25-032</v>
      </c>
      <c r="B587" s="6" t="s">
        <v>1950</v>
      </c>
      <c r="C587" s="6" t="s">
        <v>89</v>
      </c>
      <c r="D587" s="6" t="s">
        <v>90</v>
      </c>
      <c r="E587" s="7">
        <v>45518</v>
      </c>
      <c r="F587" s="8" t="s">
        <v>18</v>
      </c>
      <c r="G587" s="8" t="s">
        <v>18</v>
      </c>
      <c r="I587" s="6" t="s">
        <v>1951</v>
      </c>
      <c r="J587" s="6" t="s">
        <v>1952</v>
      </c>
    </row>
    <row r="588" spans="1:10" ht="345" x14ac:dyDescent="0.25">
      <c r="A588" s="6" t="str">
        <f>HYPERLINK("https://grants.gov/search-results-detail/349639","RFA-DA-25-002")</f>
        <v>RFA-DA-25-002</v>
      </c>
      <c r="B588" s="6" t="s">
        <v>2223</v>
      </c>
      <c r="C588" s="6" t="s">
        <v>89</v>
      </c>
      <c r="D588" s="6" t="s">
        <v>90</v>
      </c>
      <c r="E588" s="7">
        <v>45518</v>
      </c>
      <c r="F588" s="8">
        <v>225000</v>
      </c>
      <c r="G588" s="8" t="s">
        <v>18</v>
      </c>
      <c r="I588" s="6" t="s">
        <v>2224</v>
      </c>
      <c r="J588" s="6" t="s">
        <v>2225</v>
      </c>
    </row>
    <row r="589" spans="1:10" ht="360" x14ac:dyDescent="0.25">
      <c r="A589" s="6" t="str">
        <f>HYPERLINK("https://grants.gov/search-results-detail/349638","RFA-DA-25-001")</f>
        <v>RFA-DA-25-001</v>
      </c>
      <c r="B589" s="6" t="s">
        <v>2226</v>
      </c>
      <c r="C589" s="6" t="s">
        <v>89</v>
      </c>
      <c r="D589" s="6" t="s">
        <v>90</v>
      </c>
      <c r="E589" s="7">
        <v>45518</v>
      </c>
      <c r="F589" s="8">
        <v>500000</v>
      </c>
      <c r="G589" s="8" t="s">
        <v>18</v>
      </c>
      <c r="I589" s="6" t="s">
        <v>2227</v>
      </c>
      <c r="J589" s="6" t="s">
        <v>2225</v>
      </c>
    </row>
    <row r="590" spans="1:10" ht="270" x14ac:dyDescent="0.25">
      <c r="A590" s="6" t="str">
        <f>HYPERLINK("https://grants.gov/search-results-detail/332394","PAR-21-208")</f>
        <v>PAR-21-208</v>
      </c>
      <c r="B590" s="6" t="s">
        <v>2672</v>
      </c>
      <c r="C590" s="6" t="s">
        <v>89</v>
      </c>
      <c r="D590" s="6" t="s">
        <v>90</v>
      </c>
      <c r="E590" s="7">
        <v>45518</v>
      </c>
      <c r="F590" s="8">
        <v>150000</v>
      </c>
      <c r="G590" s="8" t="s">
        <v>18</v>
      </c>
      <c r="I590" s="6" t="s">
        <v>2673</v>
      </c>
      <c r="J590" s="6" t="s">
        <v>2674</v>
      </c>
    </row>
    <row r="591" spans="1:10" ht="255" x14ac:dyDescent="0.25">
      <c r="A591" s="6" t="str">
        <f>HYPERLINK("https://grants.gov/search-results-detail/353531","RFA-DA-25-035")</f>
        <v>RFA-DA-25-035</v>
      </c>
      <c r="B591" s="6" t="s">
        <v>643</v>
      </c>
      <c r="C591" s="6" t="s">
        <v>89</v>
      </c>
      <c r="D591" s="6" t="s">
        <v>90</v>
      </c>
      <c r="E591" s="7">
        <v>45519</v>
      </c>
      <c r="F591" s="8" t="s">
        <v>18</v>
      </c>
      <c r="G591" s="8" t="s">
        <v>18</v>
      </c>
      <c r="I591" s="6" t="s">
        <v>644</v>
      </c>
      <c r="J591" s="6" t="s">
        <v>645</v>
      </c>
    </row>
    <row r="592" spans="1:10" ht="330" x14ac:dyDescent="0.25">
      <c r="A592" s="6" t="str">
        <f>HYPERLINK("https://grants.gov/search-results-detail/342856","RFA-OD-22-014")</f>
        <v>RFA-OD-22-014</v>
      </c>
      <c r="B592" s="6" t="s">
        <v>2471</v>
      </c>
      <c r="C592" s="6" t="s">
        <v>89</v>
      </c>
      <c r="D592" s="6" t="s">
        <v>90</v>
      </c>
      <c r="E592" s="7">
        <v>45519</v>
      </c>
      <c r="F592" s="8" t="s">
        <v>18</v>
      </c>
      <c r="G592" s="8" t="s">
        <v>18</v>
      </c>
      <c r="I592" s="6" t="s">
        <v>2472</v>
      </c>
      <c r="J592" s="6" t="s">
        <v>2473</v>
      </c>
    </row>
    <row r="593" spans="1:10" ht="409.5" x14ac:dyDescent="0.25">
      <c r="A593" s="6" t="str">
        <f>HYPERLINK("https://grants.gov/search-results-detail/349434","MP-CPI-24-001")</f>
        <v>MP-CPI-24-001</v>
      </c>
      <c r="B593" s="6" t="s">
        <v>1728</v>
      </c>
      <c r="C593" s="6" t="s">
        <v>1729</v>
      </c>
      <c r="D593" s="6" t="s">
        <v>1730</v>
      </c>
      <c r="E593" s="7">
        <v>45427</v>
      </c>
      <c r="F593" s="8">
        <v>600000</v>
      </c>
      <c r="G593" s="8">
        <v>475000</v>
      </c>
      <c r="H593" s="6">
        <v>14</v>
      </c>
      <c r="I593" s="6" t="s">
        <v>842</v>
      </c>
      <c r="J593" s="6" t="s">
        <v>1731</v>
      </c>
    </row>
    <row r="594" spans="1:10" ht="375" x14ac:dyDescent="0.25">
      <c r="A594" s="6" t="str">
        <f>HYPERLINK("https://grants.gov/search-results-detail/349700","SM-24-003")</f>
        <v>SM-24-003</v>
      </c>
      <c r="B594" s="6" t="s">
        <v>1459</v>
      </c>
      <c r="C594" s="6" t="s">
        <v>414</v>
      </c>
      <c r="D594" s="6" t="s">
        <v>415</v>
      </c>
      <c r="E594" s="7">
        <v>45432</v>
      </c>
      <c r="F594" s="8">
        <v>2000000</v>
      </c>
      <c r="G594" s="8">
        <v>0</v>
      </c>
      <c r="H594" s="6">
        <v>3</v>
      </c>
      <c r="I594" s="6" t="s">
        <v>1460</v>
      </c>
      <c r="J594" s="6" t="s">
        <v>1461</v>
      </c>
    </row>
    <row r="595" spans="1:10" ht="255" x14ac:dyDescent="0.25">
      <c r="A595" s="6" t="str">
        <f>HYPERLINK("https://grants.gov/search-results-detail/352056","SM-24-011")</f>
        <v>SM-24-011</v>
      </c>
      <c r="B595" s="6" t="s">
        <v>1462</v>
      </c>
      <c r="C595" s="6" t="s">
        <v>414</v>
      </c>
      <c r="D595" s="6" t="s">
        <v>415</v>
      </c>
      <c r="E595" s="7">
        <v>45432</v>
      </c>
      <c r="F595" s="8">
        <v>900000</v>
      </c>
      <c r="G595" s="8">
        <v>0</v>
      </c>
      <c r="H595" s="6">
        <v>5</v>
      </c>
      <c r="I595" s="6" t="s">
        <v>1463</v>
      </c>
      <c r="J595" s="6" t="s">
        <v>1464</v>
      </c>
    </row>
    <row r="596" spans="1:10" ht="135" x14ac:dyDescent="0.25">
      <c r="A596" s="6" t="str">
        <f>HYPERLINK("https://grants.gov/search-results-detail/353104","SP-24-003")</f>
        <v>SP-24-003</v>
      </c>
      <c r="B596" s="6" t="s">
        <v>1293</v>
      </c>
      <c r="C596" s="6" t="s">
        <v>414</v>
      </c>
      <c r="D596" s="6" t="s">
        <v>415</v>
      </c>
      <c r="E596" s="7">
        <v>45436</v>
      </c>
      <c r="F596" s="8">
        <v>675000</v>
      </c>
      <c r="G596" s="8">
        <v>0</v>
      </c>
      <c r="H596" s="6">
        <v>1</v>
      </c>
      <c r="I596" s="6" t="s">
        <v>1294</v>
      </c>
      <c r="J596" s="6" t="s">
        <v>1295</v>
      </c>
    </row>
    <row r="597" spans="1:10" ht="195" x14ac:dyDescent="0.25">
      <c r="A597" s="6" t="str">
        <f>HYPERLINK("https://grants.gov/search-results-detail/349702","SM-24-005")</f>
        <v>SM-24-005</v>
      </c>
      <c r="B597" s="6" t="s">
        <v>985</v>
      </c>
      <c r="C597" s="6" t="s">
        <v>414</v>
      </c>
      <c r="D597" s="6" t="s">
        <v>415</v>
      </c>
      <c r="E597" s="7">
        <v>45446</v>
      </c>
      <c r="F597" s="8">
        <v>735000</v>
      </c>
      <c r="G597" s="8">
        <v>0</v>
      </c>
      <c r="H597" s="6">
        <v>20</v>
      </c>
      <c r="I597" s="6" t="s">
        <v>986</v>
      </c>
      <c r="J597" s="6" t="s">
        <v>987</v>
      </c>
    </row>
    <row r="598" spans="1:10" ht="255" x14ac:dyDescent="0.25">
      <c r="A598" s="6" t="str">
        <f>HYPERLINK("https://grants.gov/search-results-detail/352059","SM-24-010")</f>
        <v>SM-24-010</v>
      </c>
      <c r="B598" s="6" t="s">
        <v>721</v>
      </c>
      <c r="C598" s="6" t="s">
        <v>414</v>
      </c>
      <c r="D598" s="6" t="s">
        <v>415</v>
      </c>
      <c r="E598" s="7">
        <v>45453</v>
      </c>
      <c r="F598" s="8">
        <v>7467006</v>
      </c>
      <c r="G598" s="8">
        <v>0</v>
      </c>
      <c r="H598" s="6">
        <v>1</v>
      </c>
      <c r="I598" s="6" t="s">
        <v>722</v>
      </c>
      <c r="J598" s="6" t="s">
        <v>723</v>
      </c>
    </row>
    <row r="599" spans="1:10" ht="240" x14ac:dyDescent="0.25">
      <c r="A599" s="6" t="str">
        <f>HYPERLINK("https://grants.gov/search-results-detail/353063","TI-24-011")</f>
        <v>TI-24-011</v>
      </c>
      <c r="B599" s="6" t="s">
        <v>754</v>
      </c>
      <c r="C599" s="6" t="s">
        <v>414</v>
      </c>
      <c r="D599" s="6" t="s">
        <v>415</v>
      </c>
      <c r="E599" s="7">
        <v>45453</v>
      </c>
      <c r="F599" s="8">
        <v>777850</v>
      </c>
      <c r="G599" s="8">
        <v>0</v>
      </c>
      <c r="H599" s="6">
        <v>11</v>
      </c>
      <c r="I599" s="6" t="s">
        <v>755</v>
      </c>
      <c r="J599" s="6" t="s">
        <v>756</v>
      </c>
    </row>
    <row r="600" spans="1:10" ht="150" x14ac:dyDescent="0.25">
      <c r="A600" s="6" t="str">
        <f>HYPERLINK("https://grants.gov/search-results-detail/352473","SM-24-009")</f>
        <v>SM-24-009</v>
      </c>
      <c r="B600" s="6" t="s">
        <v>757</v>
      </c>
      <c r="C600" s="6" t="s">
        <v>414</v>
      </c>
      <c r="D600" s="6" t="s">
        <v>415</v>
      </c>
      <c r="E600" s="7">
        <v>45453</v>
      </c>
      <c r="F600" s="8">
        <v>1924621</v>
      </c>
      <c r="G600" s="8">
        <v>0</v>
      </c>
      <c r="H600" s="6">
        <v>8</v>
      </c>
      <c r="I600" s="6" t="s">
        <v>758</v>
      </c>
      <c r="J600" s="6" t="s">
        <v>759</v>
      </c>
    </row>
    <row r="601" spans="1:10" ht="150" x14ac:dyDescent="0.25">
      <c r="A601" s="6" t="str">
        <f>HYPERLINK("https://grants.gov/search-results-detail/353675","FG-24-099")</f>
        <v>FG-24-099</v>
      </c>
      <c r="B601" s="6" t="s">
        <v>413</v>
      </c>
      <c r="C601" s="6" t="s">
        <v>414</v>
      </c>
      <c r="D601" s="6" t="s">
        <v>415</v>
      </c>
      <c r="E601" s="7">
        <v>45464</v>
      </c>
      <c r="F601" s="8">
        <v>4500000</v>
      </c>
      <c r="G601" s="8">
        <v>0</v>
      </c>
      <c r="H601" s="6">
        <v>92</v>
      </c>
      <c r="I601" s="6" t="s">
        <v>416</v>
      </c>
      <c r="J601" s="6" t="s">
        <v>417</v>
      </c>
    </row>
    <row r="602" spans="1:10" ht="409.5" x14ac:dyDescent="0.25">
      <c r="A602" s="6" t="str">
        <f>HYPERLINK("https://grants.gov/search-results-detail/348063","FR-6700-N-91C")</f>
        <v>FR-6700-N-91C</v>
      </c>
      <c r="B602" s="6" t="s">
        <v>2300</v>
      </c>
      <c r="C602" s="6" t="s">
        <v>514</v>
      </c>
      <c r="D602" s="6" t="s">
        <v>515</v>
      </c>
      <c r="E602" s="7">
        <v>45427</v>
      </c>
      <c r="F602" s="8">
        <v>10000000</v>
      </c>
      <c r="G602" s="8">
        <v>1</v>
      </c>
      <c r="H602" s="6">
        <v>100</v>
      </c>
      <c r="I602" s="6" t="s">
        <v>2301</v>
      </c>
      <c r="J602" s="6" t="s">
        <v>2302</v>
      </c>
    </row>
    <row r="603" spans="1:10" ht="409.5" x14ac:dyDescent="0.25">
      <c r="A603" s="6" t="str">
        <f>HYPERLINK("https://grants.gov/search-results-detail/351476","FR-6700-N-74")</f>
        <v>FR-6700-N-74</v>
      </c>
      <c r="B603" s="6" t="s">
        <v>2068</v>
      </c>
      <c r="C603" s="6" t="s">
        <v>514</v>
      </c>
      <c r="D603" s="6" t="s">
        <v>515</v>
      </c>
      <c r="E603" s="7">
        <v>45435</v>
      </c>
      <c r="F603" s="8">
        <v>0</v>
      </c>
      <c r="G603" s="8">
        <v>0</v>
      </c>
      <c r="H603" s="6">
        <v>160</v>
      </c>
      <c r="I603" s="6" t="s">
        <v>2069</v>
      </c>
      <c r="J603" s="6" t="s">
        <v>2070</v>
      </c>
    </row>
    <row r="604" spans="1:10" ht="409.5" x14ac:dyDescent="0.25">
      <c r="A604" s="6" t="str">
        <f>HYPERLINK("https://grants.gov/search-results-detail/352690","FR-6700-N-99")</f>
        <v>FR-6700-N-99</v>
      </c>
      <c r="B604" s="6" t="s">
        <v>1766</v>
      </c>
      <c r="C604" s="6" t="s">
        <v>514</v>
      </c>
      <c r="D604" s="6" t="s">
        <v>515</v>
      </c>
      <c r="E604" s="7">
        <v>45448</v>
      </c>
      <c r="F604" s="8">
        <v>75000000</v>
      </c>
      <c r="G604" s="8">
        <v>500000</v>
      </c>
      <c r="H604" s="6">
        <v>25</v>
      </c>
      <c r="I604" s="6" t="s">
        <v>1767</v>
      </c>
      <c r="J604" s="6" t="s">
        <v>1768</v>
      </c>
    </row>
    <row r="605" spans="1:10" ht="270" x14ac:dyDescent="0.25">
      <c r="A605" s="6" t="str">
        <f>HYPERLINK("https://grants.gov/search-results-detail/353452","FR-6800-N-38")</f>
        <v>FR-6800-N-38</v>
      </c>
      <c r="B605" s="6" t="s">
        <v>798</v>
      </c>
      <c r="C605" s="6" t="s">
        <v>514</v>
      </c>
      <c r="D605" s="6" t="s">
        <v>515</v>
      </c>
      <c r="E605" s="7">
        <v>45453</v>
      </c>
      <c r="F605" s="8">
        <v>500000</v>
      </c>
      <c r="G605" s="8">
        <v>1</v>
      </c>
      <c r="H605" s="6">
        <v>20</v>
      </c>
      <c r="I605" s="6" t="s">
        <v>799</v>
      </c>
      <c r="J605" s="6" t="s">
        <v>800</v>
      </c>
    </row>
    <row r="606" spans="1:10" ht="409.5" x14ac:dyDescent="0.25">
      <c r="A606" s="6" t="str">
        <f>HYPERLINK("https://grants.gov/search-results-detail/348061","FR-6700-N-91A")</f>
        <v>FR-6700-N-91A</v>
      </c>
      <c r="B606" s="6" t="s">
        <v>2303</v>
      </c>
      <c r="C606" s="6" t="s">
        <v>514</v>
      </c>
      <c r="D606" s="6" t="s">
        <v>515</v>
      </c>
      <c r="E606" s="7">
        <v>45455</v>
      </c>
      <c r="F606" s="8">
        <v>20000000</v>
      </c>
      <c r="G606" s="8">
        <v>1</v>
      </c>
      <c r="H606" s="6">
        <v>300</v>
      </c>
      <c r="I606" s="6" t="s">
        <v>2298</v>
      </c>
      <c r="J606" s="6" t="s">
        <v>2304</v>
      </c>
    </row>
    <row r="607" spans="1:10" ht="409.5" x14ac:dyDescent="0.25">
      <c r="A607" s="6" t="str">
        <f>HYPERLINK("https://grants.gov/search-results-detail/353595","FR-6800-N-41")</f>
        <v>FR-6800-N-41</v>
      </c>
      <c r="B607" s="6" t="s">
        <v>513</v>
      </c>
      <c r="C607" s="6" t="s">
        <v>514</v>
      </c>
      <c r="D607" s="6" t="s">
        <v>515</v>
      </c>
      <c r="E607" s="7">
        <v>45460</v>
      </c>
      <c r="F607" s="8">
        <v>1700000</v>
      </c>
      <c r="G607" s="8">
        <v>15000</v>
      </c>
      <c r="H607" s="6">
        <v>20</v>
      </c>
      <c r="I607" s="6" t="s">
        <v>516</v>
      </c>
      <c r="J607" s="6" t="s">
        <v>517</v>
      </c>
    </row>
    <row r="608" spans="1:10" ht="409.5" x14ac:dyDescent="0.25">
      <c r="A608" s="6" t="str">
        <f>HYPERLINK("https://grants.gov/search-results-detail/352540","FR-6700-N-52")</f>
        <v>FR-6700-N-52</v>
      </c>
      <c r="B608" s="6" t="s">
        <v>1811</v>
      </c>
      <c r="C608" s="6" t="s">
        <v>514</v>
      </c>
      <c r="D608" s="6" t="s">
        <v>515</v>
      </c>
      <c r="E608" s="7">
        <v>45463</v>
      </c>
      <c r="F608" s="8">
        <v>20000000</v>
      </c>
      <c r="G608" s="8">
        <v>1</v>
      </c>
      <c r="H608" s="6">
        <v>20</v>
      </c>
      <c r="I608" s="6" t="s">
        <v>1812</v>
      </c>
      <c r="J608" s="6" t="s">
        <v>1813</v>
      </c>
    </row>
    <row r="609" spans="1:10" ht="409.5" x14ac:dyDescent="0.25">
      <c r="A609" s="6" t="str">
        <f>HYPERLINK("https://grants.gov/search-results-detail/353460","FR-6800-N-29F")</f>
        <v>FR-6800-N-29F</v>
      </c>
      <c r="B609" s="6" t="s">
        <v>820</v>
      </c>
      <c r="C609" s="6" t="s">
        <v>514</v>
      </c>
      <c r="D609" s="6" t="s">
        <v>515</v>
      </c>
      <c r="E609" s="7">
        <v>45482</v>
      </c>
      <c r="F609" s="8">
        <v>4000000</v>
      </c>
      <c r="G609" s="8">
        <v>1000000</v>
      </c>
      <c r="H609" s="6">
        <v>4</v>
      </c>
      <c r="I609" s="6" t="s">
        <v>821</v>
      </c>
      <c r="J609" s="6" t="s">
        <v>822</v>
      </c>
    </row>
    <row r="610" spans="1:10" ht="409.5" x14ac:dyDescent="0.25">
      <c r="A610" s="6" t="str">
        <f>HYPERLINK("https://grants.gov/search-results-detail/348062","FR-6700-N-91B")</f>
        <v>FR-6700-N-91B</v>
      </c>
      <c r="B610" s="6" t="s">
        <v>2297</v>
      </c>
      <c r="C610" s="6" t="s">
        <v>514</v>
      </c>
      <c r="D610" s="6" t="s">
        <v>515</v>
      </c>
      <c r="E610" s="7">
        <v>45504</v>
      </c>
      <c r="F610" s="8">
        <v>750000</v>
      </c>
      <c r="G610" s="8">
        <v>1</v>
      </c>
      <c r="H610" s="6">
        <v>200</v>
      </c>
      <c r="I610" s="6" t="s">
        <v>2298</v>
      </c>
      <c r="J610" s="6" t="s">
        <v>2299</v>
      </c>
    </row>
    <row r="611" spans="1:10" ht="45" x14ac:dyDescent="0.25">
      <c r="A611" s="6" t="str">
        <f>HYPERLINK("https://grants.gov/search-results-detail/350750","TEST-PTS-UTF-8")</f>
        <v>TEST-PTS-UTF-8</v>
      </c>
      <c r="B611" s="6" t="s">
        <v>2149</v>
      </c>
      <c r="C611" s="6" t="s">
        <v>2150</v>
      </c>
      <c r="D611" s="6" t="s">
        <v>2151</v>
      </c>
      <c r="F611" s="8">
        <v>2</v>
      </c>
      <c r="G611" s="8">
        <v>1</v>
      </c>
      <c r="I611" s="6" t="s">
        <v>2152</v>
      </c>
      <c r="J611" s="6" t="s">
        <v>2153</v>
      </c>
    </row>
    <row r="612" spans="1:10" ht="409.5" x14ac:dyDescent="0.25">
      <c r="A612" s="6" t="str">
        <f>HYPERLINK("https://grants.gov/search-results-detail/353419","030ADV24R0028")</f>
        <v>030ADV24R0028</v>
      </c>
      <c r="B612" s="6" t="s">
        <v>766</v>
      </c>
      <c r="C612" s="6" t="s">
        <v>767</v>
      </c>
      <c r="D612" s="6" t="s">
        <v>768</v>
      </c>
      <c r="E612" s="7">
        <v>45433</v>
      </c>
      <c r="F612" s="8">
        <v>75000</v>
      </c>
      <c r="G612" s="8">
        <v>0</v>
      </c>
      <c r="H612" s="6">
        <v>25</v>
      </c>
      <c r="I612" s="6" t="s">
        <v>769</v>
      </c>
      <c r="J612" s="6" t="s">
        <v>770</v>
      </c>
    </row>
    <row r="613" spans="1:10" ht="409.5" x14ac:dyDescent="0.25">
      <c r="A613" s="6" t="str">
        <f>HYPERLINK("https://grants.gov/search-results-detail/353418","030ADV24R0027")</f>
        <v>030ADV24R0027</v>
      </c>
      <c r="B613" s="6" t="s">
        <v>771</v>
      </c>
      <c r="C613" s="6" t="s">
        <v>767</v>
      </c>
      <c r="D613" s="6" t="s">
        <v>768</v>
      </c>
      <c r="E613" s="7">
        <v>45433</v>
      </c>
      <c r="F613" s="8">
        <v>100000</v>
      </c>
      <c r="G613" s="8">
        <v>0</v>
      </c>
      <c r="H613" s="6">
        <v>35</v>
      </c>
      <c r="I613" s="6" t="s">
        <v>772</v>
      </c>
      <c r="J613" s="6" t="s">
        <v>773</v>
      </c>
    </row>
    <row r="614" spans="1:10" ht="375" x14ac:dyDescent="0.25">
      <c r="A614" s="6" t="str">
        <f>HYPERLINK("https://grants.gov/search-results-detail/353434","NNH24ZHA003C-NMI")</f>
        <v>NNH24ZHA003C-NMI</v>
      </c>
      <c r="B614" s="6" t="s">
        <v>858</v>
      </c>
      <c r="C614" s="6" t="s">
        <v>596</v>
      </c>
      <c r="D614" s="6" t="s">
        <v>597</v>
      </c>
      <c r="E614" s="7">
        <v>45449</v>
      </c>
      <c r="F614" s="8">
        <v>1200000</v>
      </c>
      <c r="G614" s="8">
        <v>0</v>
      </c>
      <c r="H614" s="6">
        <v>6</v>
      </c>
      <c r="I614" s="6" t="s">
        <v>859</v>
      </c>
      <c r="J614" s="6" t="s">
        <v>860</v>
      </c>
    </row>
    <row r="615" spans="1:10" ht="240" x14ac:dyDescent="0.25">
      <c r="A615" s="6" t="str">
        <f>HYPERLINK("https://grants.gov/search-results-detail/353563","NNH24ZHA003C-SG25")</f>
        <v>NNH24ZHA003C-SG25</v>
      </c>
      <c r="B615" s="6" t="s">
        <v>595</v>
      </c>
      <c r="C615" s="6" t="s">
        <v>596</v>
      </c>
      <c r="D615" s="6" t="s">
        <v>597</v>
      </c>
      <c r="E615" s="7">
        <v>45483</v>
      </c>
      <c r="F615" s="8">
        <v>1690000</v>
      </c>
      <c r="G615" s="8">
        <v>0</v>
      </c>
      <c r="H615" s="6">
        <v>52</v>
      </c>
      <c r="I615" s="6" t="s">
        <v>598</v>
      </c>
      <c r="J615" s="6" t="s">
        <v>599</v>
      </c>
    </row>
    <row r="616" spans="1:10" ht="409.5" x14ac:dyDescent="0.25">
      <c r="A616" s="6" t="str">
        <f>HYPERLINK("https://grants.gov/search-results-detail/318918","NNH19ZHA001C")</f>
        <v>NNH19ZHA001C</v>
      </c>
      <c r="B616" s="6" t="s">
        <v>2793</v>
      </c>
      <c r="C616" s="6" t="s">
        <v>596</v>
      </c>
      <c r="D616" s="6" t="s">
        <v>597</v>
      </c>
      <c r="F616" s="8">
        <v>700000</v>
      </c>
      <c r="G616" s="8">
        <v>0</v>
      </c>
      <c r="H616" s="6">
        <v>52</v>
      </c>
      <c r="I616" s="6" t="s">
        <v>2794</v>
      </c>
      <c r="J616" s="6" t="s">
        <v>2795</v>
      </c>
    </row>
    <row r="617" spans="1:10" ht="409.5" x14ac:dyDescent="0.25">
      <c r="A617" s="6" t="str">
        <f>HYPERLINK("https://grants.gov/search-results-detail/300997","NNH18ZHA002N-MUSIC")</f>
        <v>NNH18ZHA002N-MUSIC</v>
      </c>
      <c r="B617" s="6" t="s">
        <v>2858</v>
      </c>
      <c r="C617" s="6" t="s">
        <v>596</v>
      </c>
      <c r="D617" s="6" t="s">
        <v>597</v>
      </c>
      <c r="F617" s="8">
        <v>450000</v>
      </c>
      <c r="G617" s="8">
        <v>0</v>
      </c>
      <c r="H617" s="6">
        <v>3</v>
      </c>
      <c r="I617" s="6" t="s">
        <v>2859</v>
      </c>
      <c r="J617" s="6" t="s">
        <v>2860</v>
      </c>
    </row>
    <row r="618" spans="1:10" ht="409.5" x14ac:dyDescent="0.25">
      <c r="A618" s="6" t="str">
        <f>HYPERLINK("https://grants.gov/search-results-detail/352353","NNH24ZDA001N-ECIA")</f>
        <v>NNH24ZDA001N-ECIA</v>
      </c>
      <c r="B618" s="6" t="s">
        <v>1861</v>
      </c>
      <c r="C618" s="6" t="s">
        <v>855</v>
      </c>
      <c r="D618" s="6" t="s">
        <v>856</v>
      </c>
      <c r="E618" s="7">
        <v>45427</v>
      </c>
      <c r="F618" s="8" t="s">
        <v>18</v>
      </c>
      <c r="G618" s="8" t="s">
        <v>18</v>
      </c>
      <c r="I618" s="6" t="s">
        <v>916</v>
      </c>
      <c r="J618" s="6" t="s">
        <v>1862</v>
      </c>
    </row>
    <row r="619" spans="1:10" ht="409.5" x14ac:dyDescent="0.25">
      <c r="A619" s="6" t="str">
        <f>HYPERLINK("https://grants.gov/search-results-detail/352354","NNH24ZDA001N-ADAP")</f>
        <v>NNH24ZDA001N-ADAP</v>
      </c>
      <c r="B619" s="6" t="s">
        <v>1885</v>
      </c>
      <c r="C619" s="6" t="s">
        <v>855</v>
      </c>
      <c r="D619" s="6" t="s">
        <v>856</v>
      </c>
      <c r="E619" s="7">
        <v>45428</v>
      </c>
      <c r="F619" s="8" t="s">
        <v>18</v>
      </c>
      <c r="G619" s="8" t="s">
        <v>18</v>
      </c>
      <c r="I619" s="6" t="s">
        <v>916</v>
      </c>
      <c r="J619" s="6" t="s">
        <v>1886</v>
      </c>
    </row>
    <row r="620" spans="1:10" ht="409.5" x14ac:dyDescent="0.25">
      <c r="A620" s="6" t="str">
        <f>HYPERLINK("https://grants.gov/search-results-detail/352363","NNH24ZDA001N-EPALS")</f>
        <v>NNH24ZDA001N-EPALS</v>
      </c>
      <c r="B620" s="6" t="s">
        <v>1863</v>
      </c>
      <c r="C620" s="6" t="s">
        <v>855</v>
      </c>
      <c r="D620" s="6" t="s">
        <v>856</v>
      </c>
      <c r="E620" s="7">
        <v>45429</v>
      </c>
      <c r="F620" s="8" t="s">
        <v>18</v>
      </c>
      <c r="G620" s="8" t="s">
        <v>18</v>
      </c>
      <c r="I620" s="6" t="s">
        <v>916</v>
      </c>
      <c r="J620" s="6" t="s">
        <v>1860</v>
      </c>
    </row>
    <row r="621" spans="1:10" ht="409.5" x14ac:dyDescent="0.25">
      <c r="A621" s="6" t="str">
        <f>HYPERLINK("https://grants.gov/search-results-detail/352362","NNH24ZDA001N-EPAOD")</f>
        <v>NNH24ZDA001N-EPAOD</v>
      </c>
      <c r="B621" s="6" t="s">
        <v>1864</v>
      </c>
      <c r="C621" s="6" t="s">
        <v>855</v>
      </c>
      <c r="D621" s="6" t="s">
        <v>856</v>
      </c>
      <c r="E621" s="7">
        <v>45429</v>
      </c>
      <c r="F621" s="8" t="s">
        <v>18</v>
      </c>
      <c r="G621" s="8" t="s">
        <v>18</v>
      </c>
      <c r="I621" s="6" t="s">
        <v>916</v>
      </c>
      <c r="J621" s="6" t="s">
        <v>1860</v>
      </c>
    </row>
    <row r="622" spans="1:10" ht="409.5" x14ac:dyDescent="0.25">
      <c r="A622" s="6" t="str">
        <f>HYPERLINK("https://grants.gov/search-results-detail/352356","NNH24ZDA001N-IPMSI")</f>
        <v>NNH24ZDA001N-IPMSI</v>
      </c>
      <c r="B622" s="6" t="s">
        <v>1894</v>
      </c>
      <c r="C622" s="6" t="s">
        <v>855</v>
      </c>
      <c r="D622" s="6" t="s">
        <v>856</v>
      </c>
      <c r="E622" s="7">
        <v>45432</v>
      </c>
      <c r="F622" s="8" t="s">
        <v>18</v>
      </c>
      <c r="G622" s="8" t="s">
        <v>18</v>
      </c>
      <c r="I622" s="6" t="s">
        <v>916</v>
      </c>
      <c r="J622" s="6" t="s">
        <v>1860</v>
      </c>
    </row>
    <row r="623" spans="1:10" ht="409.5" x14ac:dyDescent="0.25">
      <c r="A623" s="6" t="str">
        <f>HYPERLINK("https://grants.gov/search-results-detail/352409","NNH24ZDA001N-HGIO")</f>
        <v>NNH24ZDA001N-HGIO</v>
      </c>
      <c r="B623" s="6" t="s">
        <v>1895</v>
      </c>
      <c r="C623" s="6" t="s">
        <v>855</v>
      </c>
      <c r="D623" s="6" t="s">
        <v>856</v>
      </c>
      <c r="E623" s="7">
        <v>45435</v>
      </c>
      <c r="F623" s="8" t="s">
        <v>18</v>
      </c>
      <c r="G623" s="8" t="s">
        <v>18</v>
      </c>
      <c r="I623" s="6" t="s">
        <v>916</v>
      </c>
      <c r="J623" s="6" t="s">
        <v>1896</v>
      </c>
    </row>
    <row r="624" spans="1:10" ht="409.5" x14ac:dyDescent="0.25">
      <c r="A624" s="6" t="str">
        <f>HYPERLINK("https://grants.gov/search-results-detail/352595","NNH24ZDA001N-WF")</f>
        <v>NNH24ZDA001N-WF</v>
      </c>
      <c r="B624" s="6" t="s">
        <v>1786</v>
      </c>
      <c r="C624" s="6" t="s">
        <v>855</v>
      </c>
      <c r="D624" s="6" t="s">
        <v>856</v>
      </c>
      <c r="E624" s="7">
        <v>45436</v>
      </c>
      <c r="F624" s="8" t="s">
        <v>18</v>
      </c>
      <c r="G624" s="8" t="s">
        <v>18</v>
      </c>
      <c r="I624" s="6" t="s">
        <v>916</v>
      </c>
      <c r="J624" s="6" t="s">
        <v>1787</v>
      </c>
    </row>
    <row r="625" spans="1:10" ht="409.5" x14ac:dyDescent="0.25">
      <c r="A625" s="6" t="str">
        <f>HYPERLINK("https://grants.gov/search-results-detail/352715","NNH24ZEA001N-ULI")</f>
        <v>NNH24ZEA001N-ULI</v>
      </c>
      <c r="B625" s="6" t="s">
        <v>1754</v>
      </c>
      <c r="C625" s="6" t="s">
        <v>855</v>
      </c>
      <c r="D625" s="6" t="s">
        <v>856</v>
      </c>
      <c r="E625" s="7">
        <v>45441</v>
      </c>
      <c r="F625" s="8" t="s">
        <v>18</v>
      </c>
      <c r="G625" s="8" t="s">
        <v>18</v>
      </c>
      <c r="I625" s="6" t="s">
        <v>96</v>
      </c>
      <c r="J625" s="6" t="s">
        <v>1755</v>
      </c>
    </row>
    <row r="626" spans="1:10" ht="315" x14ac:dyDescent="0.25">
      <c r="A626" s="6" t="str">
        <f>HYPERLINK("https://grants.gov/search-results-detail/353435","NNH24ZEA001N-CST")</f>
        <v>NNH24ZEA001N-CST</v>
      </c>
      <c r="B626" s="6" t="s">
        <v>854</v>
      </c>
      <c r="C626" s="6" t="s">
        <v>855</v>
      </c>
      <c r="D626" s="6" t="s">
        <v>856</v>
      </c>
      <c r="E626" s="7">
        <v>45443</v>
      </c>
      <c r="F626" s="8" t="s">
        <v>18</v>
      </c>
      <c r="G626" s="8" t="s">
        <v>18</v>
      </c>
      <c r="H626" s="6">
        <v>1</v>
      </c>
      <c r="I626" s="6" t="s">
        <v>96</v>
      </c>
      <c r="J626" s="6" t="s">
        <v>857</v>
      </c>
    </row>
    <row r="627" spans="1:10" ht="409.5" x14ac:dyDescent="0.25">
      <c r="A627" s="6" t="str">
        <f>HYPERLINK("https://grants.gov/search-results-detail/352361","NNH24ZDA001N-XRP")</f>
        <v>NNH24ZDA001N-XRP</v>
      </c>
      <c r="B627" s="6" t="s">
        <v>1852</v>
      </c>
      <c r="C627" s="6" t="s">
        <v>855</v>
      </c>
      <c r="D627" s="6" t="s">
        <v>856</v>
      </c>
      <c r="E627" s="7">
        <v>45443</v>
      </c>
      <c r="F627" s="8" t="s">
        <v>18</v>
      </c>
      <c r="G627" s="8" t="s">
        <v>18</v>
      </c>
      <c r="I627" s="6" t="s">
        <v>916</v>
      </c>
      <c r="J627" s="6" t="s">
        <v>1851</v>
      </c>
    </row>
    <row r="628" spans="1:10" ht="409.5" x14ac:dyDescent="0.25">
      <c r="A628" s="6" t="str">
        <f>HYPERLINK("https://grants.gov/search-results-detail/353406","NNH24ZTR001N-24ESI-B2")</f>
        <v>NNH24ZTR001N-24ESI-B2</v>
      </c>
      <c r="B628" s="6" t="s">
        <v>892</v>
      </c>
      <c r="C628" s="6" t="s">
        <v>855</v>
      </c>
      <c r="D628" s="6" t="s">
        <v>856</v>
      </c>
      <c r="E628" s="7">
        <v>45449</v>
      </c>
      <c r="F628" s="8" t="s">
        <v>18</v>
      </c>
      <c r="G628" s="8" t="s">
        <v>18</v>
      </c>
      <c r="H628" s="6">
        <v>6</v>
      </c>
      <c r="I628" s="6" t="s">
        <v>893</v>
      </c>
      <c r="J628" s="6" t="s">
        <v>894</v>
      </c>
    </row>
    <row r="629" spans="1:10" ht="409.5" x14ac:dyDescent="0.25">
      <c r="A629" s="6" t="str">
        <f>HYPERLINK("https://grants.gov/search-results-detail/352375","NNH24ZDA001N-CDAP")</f>
        <v>NNH24ZDA001N-CDAP</v>
      </c>
      <c r="B629" s="6" t="s">
        <v>1902</v>
      </c>
      <c r="C629" s="6" t="s">
        <v>855</v>
      </c>
      <c r="D629" s="6" t="s">
        <v>856</v>
      </c>
      <c r="E629" s="7">
        <v>45449</v>
      </c>
      <c r="F629" s="8" t="s">
        <v>18</v>
      </c>
      <c r="G629" s="8" t="s">
        <v>18</v>
      </c>
      <c r="I629" s="6" t="s">
        <v>916</v>
      </c>
      <c r="J629" s="6" t="s">
        <v>1903</v>
      </c>
    </row>
    <row r="630" spans="1:10" ht="409.5" x14ac:dyDescent="0.25">
      <c r="A630" s="6" t="str">
        <f>HYPERLINK("https://grants.gov/search-results-detail/352756","NNH24ZDA001N-OSTFL")</f>
        <v>NNH24ZDA001N-OSTFL</v>
      </c>
      <c r="B630" s="6" t="s">
        <v>1734</v>
      </c>
      <c r="C630" s="6" t="s">
        <v>855</v>
      </c>
      <c r="D630" s="6" t="s">
        <v>856</v>
      </c>
      <c r="E630" s="7">
        <v>45450</v>
      </c>
      <c r="F630" s="8" t="s">
        <v>18</v>
      </c>
      <c r="G630" s="8" t="s">
        <v>18</v>
      </c>
      <c r="I630" s="6" t="s">
        <v>916</v>
      </c>
      <c r="J630" s="6" t="s">
        <v>1735</v>
      </c>
    </row>
    <row r="631" spans="1:10" ht="409.5" x14ac:dyDescent="0.25">
      <c r="A631" s="6" t="str">
        <f>HYPERLINK("https://grants.gov/search-results-detail/352367","NNH24ZDA001N-LMAP")</f>
        <v>NNH24ZDA001N-LMAP</v>
      </c>
      <c r="B631" s="6" t="s">
        <v>1859</v>
      </c>
      <c r="C631" s="6" t="s">
        <v>855</v>
      </c>
      <c r="D631" s="6" t="s">
        <v>856</v>
      </c>
      <c r="E631" s="7">
        <v>45455</v>
      </c>
      <c r="F631" s="8" t="s">
        <v>18</v>
      </c>
      <c r="G631" s="8" t="s">
        <v>18</v>
      </c>
      <c r="I631" s="6" t="s">
        <v>916</v>
      </c>
      <c r="J631" s="6" t="s">
        <v>1860</v>
      </c>
    </row>
    <row r="632" spans="1:10" ht="409.5" x14ac:dyDescent="0.25">
      <c r="A632" s="6" t="str">
        <f>HYPERLINK("https://grants.gov/search-results-detail/353020","NNH24ZDA001N-BIODIV")</f>
        <v>NNH24ZDA001N-BIODIV</v>
      </c>
      <c r="B632" s="6" t="s">
        <v>1554</v>
      </c>
      <c r="C632" s="6" t="s">
        <v>855</v>
      </c>
      <c r="D632" s="6" t="s">
        <v>856</v>
      </c>
      <c r="E632" s="7">
        <v>45456</v>
      </c>
      <c r="F632" s="8" t="s">
        <v>18</v>
      </c>
      <c r="G632" s="8" t="s">
        <v>18</v>
      </c>
      <c r="I632" s="6" t="s">
        <v>916</v>
      </c>
      <c r="J632" s="6" t="s">
        <v>1555</v>
      </c>
    </row>
    <row r="633" spans="1:10" ht="409.5" x14ac:dyDescent="0.25">
      <c r="A633" s="6" t="str">
        <f>HYPERLINK("https://grants.gov/search-results-detail/352368","NNH24ZDA001N-DISASTER")</f>
        <v>NNH24ZDA001N-DISASTER</v>
      </c>
      <c r="B633" s="6" t="s">
        <v>1900</v>
      </c>
      <c r="C633" s="6" t="s">
        <v>855</v>
      </c>
      <c r="D633" s="6" t="s">
        <v>856</v>
      </c>
      <c r="E633" s="7">
        <v>45457</v>
      </c>
      <c r="F633" s="8" t="s">
        <v>18</v>
      </c>
      <c r="G633" s="8" t="s">
        <v>18</v>
      </c>
      <c r="I633" s="6" t="s">
        <v>916</v>
      </c>
      <c r="J633" s="6" t="s">
        <v>1886</v>
      </c>
    </row>
    <row r="634" spans="1:10" ht="409.5" x14ac:dyDescent="0.25">
      <c r="A634" s="6" t="str">
        <f>HYPERLINK("https://grants.gov/search-results-detail/352369","NNH24ZDA001N-YORPD")</f>
        <v>NNH24ZDA001N-YORPD</v>
      </c>
      <c r="B634" s="6" t="s">
        <v>1904</v>
      </c>
      <c r="C634" s="6" t="s">
        <v>855</v>
      </c>
      <c r="D634" s="6" t="s">
        <v>856</v>
      </c>
      <c r="E634" s="7">
        <v>45461</v>
      </c>
      <c r="F634" s="8" t="s">
        <v>18</v>
      </c>
      <c r="G634" s="8" t="s">
        <v>18</v>
      </c>
      <c r="I634" s="6" t="s">
        <v>916</v>
      </c>
      <c r="J634" s="6" t="s">
        <v>1851</v>
      </c>
    </row>
    <row r="635" spans="1:10" ht="409.5" x14ac:dyDescent="0.25">
      <c r="A635" s="6" t="str">
        <f>HYPERLINK("https://grants.gov/search-results-detail/352391","NNH24ZDA001N-ESI")</f>
        <v>NNH24ZDA001N-ESI</v>
      </c>
      <c r="B635" s="6" t="s">
        <v>1855</v>
      </c>
      <c r="C635" s="6" t="s">
        <v>855</v>
      </c>
      <c r="D635" s="6" t="s">
        <v>856</v>
      </c>
      <c r="E635" s="7">
        <v>45464</v>
      </c>
      <c r="F635" s="8" t="s">
        <v>18</v>
      </c>
      <c r="G635" s="8" t="s">
        <v>18</v>
      </c>
      <c r="I635" s="6" t="s">
        <v>916</v>
      </c>
      <c r="J635" s="6" t="s">
        <v>1856</v>
      </c>
    </row>
    <row r="636" spans="1:10" ht="409.5" x14ac:dyDescent="0.25">
      <c r="A636" s="6" t="str">
        <f>HYPERLINK("https://grants.gov/search-results-detail/352370","NNH24ZDA001N-PSEF")</f>
        <v>NNH24ZDA001N-PSEF</v>
      </c>
      <c r="B636" s="6" t="s">
        <v>1892</v>
      </c>
      <c r="C636" s="6" t="s">
        <v>855</v>
      </c>
      <c r="D636" s="6" t="s">
        <v>856</v>
      </c>
      <c r="E636" s="7">
        <v>45468</v>
      </c>
      <c r="F636" s="8" t="s">
        <v>18</v>
      </c>
      <c r="G636" s="8" t="s">
        <v>18</v>
      </c>
      <c r="I636" s="6" t="s">
        <v>916</v>
      </c>
      <c r="J636" s="6" t="s">
        <v>1851</v>
      </c>
    </row>
    <row r="637" spans="1:10" ht="409.5" x14ac:dyDescent="0.25">
      <c r="A637" s="6" t="str">
        <f>HYPERLINK("https://grants.gov/search-results-detail/352371","NNH24ZDA001N-DALI")</f>
        <v>NNH24ZDA001N-DALI</v>
      </c>
      <c r="B637" s="6" t="s">
        <v>1893</v>
      </c>
      <c r="C637" s="6" t="s">
        <v>855</v>
      </c>
      <c r="D637" s="6" t="s">
        <v>856</v>
      </c>
      <c r="E637" s="7">
        <v>45469</v>
      </c>
      <c r="F637" s="8" t="s">
        <v>18</v>
      </c>
      <c r="G637" s="8" t="s">
        <v>18</v>
      </c>
      <c r="I637" s="6" t="s">
        <v>916</v>
      </c>
      <c r="J637" s="6" t="s">
        <v>1851</v>
      </c>
    </row>
    <row r="638" spans="1:10" ht="409.5" x14ac:dyDescent="0.25">
      <c r="A638" s="6" t="str">
        <f>HYPERLINK("https://grants.gov/search-results-detail/352372","NNH24ZDA001N-MATISSE")</f>
        <v>NNH24ZDA001N-MATISSE</v>
      </c>
      <c r="B638" s="6" t="s">
        <v>1901</v>
      </c>
      <c r="C638" s="6" t="s">
        <v>855</v>
      </c>
      <c r="D638" s="6" t="s">
        <v>856</v>
      </c>
      <c r="E638" s="7">
        <v>45470</v>
      </c>
      <c r="F638" s="8" t="s">
        <v>18</v>
      </c>
      <c r="G638" s="8" t="s">
        <v>18</v>
      </c>
      <c r="I638" s="6" t="s">
        <v>916</v>
      </c>
      <c r="J638" s="6" t="s">
        <v>1851</v>
      </c>
    </row>
    <row r="639" spans="1:10" ht="409.5" x14ac:dyDescent="0.25">
      <c r="A639" s="6" t="str">
        <f>HYPERLINK("https://grants.gov/search-results-detail/352392","NNH24ZDA001N-MAP")</f>
        <v>NNH24ZDA001N-MAP</v>
      </c>
      <c r="B639" s="6" t="s">
        <v>1881</v>
      </c>
      <c r="C639" s="6" t="s">
        <v>855</v>
      </c>
      <c r="D639" s="6" t="s">
        <v>856</v>
      </c>
      <c r="E639" s="7">
        <v>45474</v>
      </c>
      <c r="F639" s="8" t="s">
        <v>18</v>
      </c>
      <c r="G639" s="8" t="s">
        <v>18</v>
      </c>
      <c r="I639" s="6" t="s">
        <v>916</v>
      </c>
      <c r="J639" s="6" t="s">
        <v>1882</v>
      </c>
    </row>
    <row r="640" spans="1:10" ht="409.5" x14ac:dyDescent="0.25">
      <c r="A640" s="6" t="str">
        <f>HYPERLINK("https://grants.gov/search-results-detail/352393","NNH24ZDA001N-OBB")</f>
        <v>NNH24ZDA001N-OBB</v>
      </c>
      <c r="B640" s="6" t="s">
        <v>1853</v>
      </c>
      <c r="C640" s="6" t="s">
        <v>855</v>
      </c>
      <c r="D640" s="6" t="s">
        <v>856</v>
      </c>
      <c r="E640" s="7">
        <v>45476</v>
      </c>
      <c r="F640" s="8" t="s">
        <v>18</v>
      </c>
      <c r="G640" s="8" t="s">
        <v>18</v>
      </c>
      <c r="I640" s="6" t="s">
        <v>916</v>
      </c>
      <c r="J640" s="6" t="s">
        <v>1854</v>
      </c>
    </row>
    <row r="641" spans="1:10" ht="409.5" x14ac:dyDescent="0.25">
      <c r="A641" s="6" t="str">
        <f>HYPERLINK("https://grants.gov/search-results-detail/353393","NNH24ZDA001N-HAQAST")</f>
        <v>NNH24ZDA001N-HAQAST</v>
      </c>
      <c r="B641" s="6" t="s">
        <v>915</v>
      </c>
      <c r="C641" s="6" t="s">
        <v>855</v>
      </c>
      <c r="D641" s="6" t="s">
        <v>856</v>
      </c>
      <c r="E641" s="7">
        <v>45482</v>
      </c>
      <c r="F641" s="8" t="s">
        <v>18</v>
      </c>
      <c r="G641" s="8" t="s">
        <v>18</v>
      </c>
      <c r="I641" s="6" t="s">
        <v>916</v>
      </c>
      <c r="J641" s="6" t="s">
        <v>917</v>
      </c>
    </row>
    <row r="642" spans="1:10" ht="409.5" x14ac:dyDescent="0.25">
      <c r="A642" s="6" t="str">
        <f>HYPERLINK("https://grants.gov/search-results-detail/352408","NNH24ZDA001N-HDEE")</f>
        <v>NNH24ZDA001N-HDEE</v>
      </c>
      <c r="B642" s="6" t="s">
        <v>1850</v>
      </c>
      <c r="C642" s="6" t="s">
        <v>855</v>
      </c>
      <c r="D642" s="6" t="s">
        <v>856</v>
      </c>
      <c r="E642" s="7">
        <v>45483</v>
      </c>
      <c r="F642" s="8" t="s">
        <v>18</v>
      </c>
      <c r="G642" s="8" t="s">
        <v>18</v>
      </c>
      <c r="I642" s="6" t="s">
        <v>916</v>
      </c>
      <c r="J642" s="6" t="s">
        <v>1851</v>
      </c>
    </row>
    <row r="643" spans="1:10" ht="409.5" x14ac:dyDescent="0.25">
      <c r="A643" s="6" t="str">
        <f>HYPERLINK("https://grants.gov/search-results-detail/352374","NNH24ZDA001N-PPR")</f>
        <v>NNH24ZDA001N-PPR</v>
      </c>
      <c r="B643" s="6" t="s">
        <v>1857</v>
      </c>
      <c r="C643" s="6" t="s">
        <v>855</v>
      </c>
      <c r="D643" s="6" t="s">
        <v>856</v>
      </c>
      <c r="E643" s="7">
        <v>45491</v>
      </c>
      <c r="F643" s="8" t="s">
        <v>18</v>
      </c>
      <c r="G643" s="8" t="s">
        <v>18</v>
      </c>
      <c r="I643" s="6" t="s">
        <v>916</v>
      </c>
      <c r="J643" s="6" t="s">
        <v>1858</v>
      </c>
    </row>
    <row r="644" spans="1:10" ht="409.5" x14ac:dyDescent="0.25">
      <c r="A644" s="6" t="str">
        <f>HYPERLINK("https://grants.gov/search-results-detail/352395","NNH24ZDA001N-ESUSPI")</f>
        <v>NNH24ZDA001N-ESUSPI</v>
      </c>
      <c r="B644" s="6" t="s">
        <v>1883</v>
      </c>
      <c r="C644" s="6" t="s">
        <v>855</v>
      </c>
      <c r="D644" s="6" t="s">
        <v>856</v>
      </c>
      <c r="E644" s="7">
        <v>45492</v>
      </c>
      <c r="F644" s="8" t="s">
        <v>18</v>
      </c>
      <c r="G644" s="8" t="s">
        <v>18</v>
      </c>
      <c r="I644" s="6" t="s">
        <v>916</v>
      </c>
      <c r="J644" s="6" t="s">
        <v>1884</v>
      </c>
    </row>
    <row r="645" spans="1:10" ht="409.5" x14ac:dyDescent="0.25">
      <c r="A645" s="6" t="str">
        <f>HYPERLINK("https://grants.gov/search-results-detail/353016","NNH24ZDA001N-HAQ")</f>
        <v>NNH24ZDA001N-HAQ</v>
      </c>
      <c r="B645" s="6" t="s">
        <v>1505</v>
      </c>
      <c r="C645" s="6" t="s">
        <v>855</v>
      </c>
      <c r="D645" s="6" t="s">
        <v>856</v>
      </c>
      <c r="E645" s="7">
        <v>45510</v>
      </c>
      <c r="F645" s="8" t="s">
        <v>18</v>
      </c>
      <c r="G645" s="8" t="s">
        <v>18</v>
      </c>
      <c r="I645" s="6" t="s">
        <v>916</v>
      </c>
      <c r="J645" s="6" t="s">
        <v>1506</v>
      </c>
    </row>
    <row r="646" spans="1:10" ht="409.5" x14ac:dyDescent="0.25">
      <c r="A646" s="6" t="str">
        <f>HYPERLINK("https://grants.gov/search-results-detail/352396","NNH24ZDA001N-THP")</f>
        <v>NNH24ZDA001N-THP</v>
      </c>
      <c r="B646" s="6" t="s">
        <v>1879</v>
      </c>
      <c r="C646" s="6" t="s">
        <v>855</v>
      </c>
      <c r="D646" s="6" t="s">
        <v>856</v>
      </c>
      <c r="E646" s="7">
        <v>45512</v>
      </c>
      <c r="F646" s="8" t="s">
        <v>18</v>
      </c>
      <c r="G646" s="8" t="s">
        <v>18</v>
      </c>
      <c r="I646" s="6" t="s">
        <v>916</v>
      </c>
      <c r="J646" s="6" t="s">
        <v>1880</v>
      </c>
    </row>
    <row r="647" spans="1:10" ht="195" x14ac:dyDescent="0.25">
      <c r="A647" s="6" t="str">
        <f>HYPERLINK("https://grants.gov/search-results-detail/353322","NCUA-CDRLF-2024G")</f>
        <v>NCUA-CDRLF-2024G</v>
      </c>
      <c r="B647" s="6" t="s">
        <v>1051</v>
      </c>
      <c r="C647" s="6" t="s">
        <v>1052</v>
      </c>
      <c r="D647" s="6" t="s">
        <v>1053</v>
      </c>
      <c r="E647" s="7">
        <v>45474</v>
      </c>
      <c r="F647" s="8">
        <v>50000</v>
      </c>
      <c r="G647" s="8">
        <v>0</v>
      </c>
      <c r="H647" s="6">
        <v>315</v>
      </c>
      <c r="I647" s="6" t="s">
        <v>1054</v>
      </c>
      <c r="J647" s="6" t="s">
        <v>1055</v>
      </c>
    </row>
    <row r="648" spans="1:10" ht="390" x14ac:dyDescent="0.25">
      <c r="A648" s="6" t="str">
        <f>HYPERLINK("https://grants.gov/search-results-detail/353718","2024NEA01OT")</f>
        <v>2024NEA01OT</v>
      </c>
      <c r="B648" s="6" t="s">
        <v>335</v>
      </c>
      <c r="C648" s="6" t="s">
        <v>336</v>
      </c>
      <c r="D648" s="6" t="s">
        <v>337</v>
      </c>
      <c r="E648" s="7">
        <v>45505</v>
      </c>
      <c r="F648" s="8">
        <v>150000</v>
      </c>
      <c r="G648" s="8">
        <v>25000</v>
      </c>
      <c r="I648" s="6" t="s">
        <v>338</v>
      </c>
      <c r="J648" s="6" t="s">
        <v>339</v>
      </c>
    </row>
    <row r="649" spans="1:10" ht="225" x14ac:dyDescent="0.25">
      <c r="A649" s="6" t="str">
        <f>HYPERLINK("https://grants.gov/search-results-detail/349718","20240521-PN")</f>
        <v>20240521-PN</v>
      </c>
      <c r="B649" s="6" t="s">
        <v>1520</v>
      </c>
      <c r="C649" s="6" t="s">
        <v>1042</v>
      </c>
      <c r="D649" s="6" t="s">
        <v>1043</v>
      </c>
      <c r="E649" s="7">
        <v>45433</v>
      </c>
      <c r="F649" s="8">
        <v>150000</v>
      </c>
      <c r="G649" s="8">
        <v>1</v>
      </c>
      <c r="H649" s="6">
        <v>20</v>
      </c>
      <c r="I649" s="6" t="s">
        <v>1521</v>
      </c>
      <c r="J649" s="6" t="s">
        <v>1522</v>
      </c>
    </row>
    <row r="650" spans="1:10" ht="210" x14ac:dyDescent="0.25">
      <c r="A650" s="6" t="str">
        <f>HYPERLINK("https://grants.gov/search-results-detail/349716","20240521-PE")</f>
        <v>20240521-PE</v>
      </c>
      <c r="B650" s="6" t="s">
        <v>1738</v>
      </c>
      <c r="C650" s="6" t="s">
        <v>1042</v>
      </c>
      <c r="D650" s="6" t="s">
        <v>1043</v>
      </c>
      <c r="E650" s="7">
        <v>45433</v>
      </c>
      <c r="F650" s="8">
        <v>350000</v>
      </c>
      <c r="G650" s="8">
        <v>1</v>
      </c>
      <c r="H650" s="6">
        <v>9</v>
      </c>
      <c r="I650" s="6" t="s">
        <v>1739</v>
      </c>
      <c r="J650" s="6" t="s">
        <v>1740</v>
      </c>
    </row>
    <row r="651" spans="1:10" ht="150" x14ac:dyDescent="0.25">
      <c r="A651" s="6" t="str">
        <f>HYPERLINK("https://grants.gov/search-results-detail/349689","20240521-PR")</f>
        <v>20240521-PR</v>
      </c>
      <c r="B651" s="6" t="s">
        <v>1758</v>
      </c>
      <c r="C651" s="6" t="s">
        <v>1042</v>
      </c>
      <c r="D651" s="6" t="s">
        <v>1043</v>
      </c>
      <c r="E651" s="7">
        <v>45433</v>
      </c>
      <c r="F651" s="8">
        <v>350000</v>
      </c>
      <c r="G651" s="8">
        <v>1</v>
      </c>
      <c r="H651" s="6">
        <v>10</v>
      </c>
      <c r="I651" s="6" t="s">
        <v>1759</v>
      </c>
      <c r="J651" s="6" t="s">
        <v>1760</v>
      </c>
    </row>
    <row r="652" spans="1:10" ht="135" x14ac:dyDescent="0.25">
      <c r="A652" s="6" t="str">
        <f>HYPERLINK("https://grants.gov/search-results-detail/349720","20240612-MD-MN-MT")</f>
        <v>20240612-MD-MN-MT</v>
      </c>
      <c r="B652" s="6" t="s">
        <v>1041</v>
      </c>
      <c r="C652" s="6" t="s">
        <v>1042</v>
      </c>
      <c r="D652" s="6" t="s">
        <v>1043</v>
      </c>
      <c r="E652" s="7">
        <v>45455</v>
      </c>
      <c r="F652" s="8">
        <v>400000</v>
      </c>
      <c r="G652" s="8">
        <v>1</v>
      </c>
      <c r="H652" s="6">
        <v>13</v>
      </c>
      <c r="I652" s="6" t="s">
        <v>1044</v>
      </c>
      <c r="J652" s="6" t="s">
        <v>1045</v>
      </c>
    </row>
    <row r="653" spans="1:10" ht="105" x14ac:dyDescent="0.25">
      <c r="A653" s="6" t="str">
        <f>HYPERLINK("https://grants.gov/search-results-detail/349632","20240626-TA")</f>
        <v>20240626-TA</v>
      </c>
      <c r="B653" s="6" t="s">
        <v>1357</v>
      </c>
      <c r="C653" s="6" t="s">
        <v>1042</v>
      </c>
      <c r="D653" s="6" t="s">
        <v>1043</v>
      </c>
      <c r="E653" s="7">
        <v>45455</v>
      </c>
      <c r="F653" s="8">
        <v>25000</v>
      </c>
      <c r="G653" s="8">
        <v>1</v>
      </c>
      <c r="H653" s="6">
        <v>30</v>
      </c>
      <c r="I653" s="6" t="s">
        <v>274</v>
      </c>
      <c r="J653" s="6" t="s">
        <v>1358</v>
      </c>
    </row>
    <row r="654" spans="1:10" ht="135" x14ac:dyDescent="0.25">
      <c r="A654" s="6" t="str">
        <f>HYPERLINK("https://grants.gov/search-results-detail/349156","20240111-HAA")</f>
        <v>20240111-HAA</v>
      </c>
      <c r="B654" s="6" t="s">
        <v>2196</v>
      </c>
      <c r="C654" s="6" t="s">
        <v>1042</v>
      </c>
      <c r="D654" s="6" t="s">
        <v>1043</v>
      </c>
      <c r="E654" s="7">
        <v>45456</v>
      </c>
      <c r="F654" s="8">
        <v>350000</v>
      </c>
      <c r="G654" s="8">
        <v>1</v>
      </c>
      <c r="H654" s="6">
        <v>10</v>
      </c>
      <c r="I654" s="6" t="s">
        <v>1044</v>
      </c>
      <c r="J654" s="6" t="s">
        <v>2197</v>
      </c>
    </row>
    <row r="655" spans="1:10" ht="285" x14ac:dyDescent="0.25">
      <c r="A655" s="6" t="str">
        <f>HYPERLINK("https://grants.gov/search-results-detail/351156","20240313-DR")</f>
        <v>20240313-DR</v>
      </c>
      <c r="B655" s="6" t="s">
        <v>2017</v>
      </c>
      <c r="C655" s="6" t="s">
        <v>1042</v>
      </c>
      <c r="D655" s="6" t="s">
        <v>1043</v>
      </c>
      <c r="E655" s="7">
        <v>45483</v>
      </c>
      <c r="F655" s="8">
        <v>6600</v>
      </c>
      <c r="G655" s="8">
        <v>6600</v>
      </c>
      <c r="H655" s="6">
        <v>12</v>
      </c>
      <c r="I655" s="6" t="s">
        <v>2018</v>
      </c>
      <c r="J655" s="6" t="s">
        <v>2019</v>
      </c>
    </row>
    <row r="656" spans="1:10" ht="165" x14ac:dyDescent="0.25">
      <c r="A656" s="6" t="str">
        <f>HYPERLINK("https://grants.gov/search-results-detail/349625","20240716-PW")</f>
        <v>20240716-PW</v>
      </c>
      <c r="B656" s="6" t="s">
        <v>1089</v>
      </c>
      <c r="C656" s="6" t="s">
        <v>1042</v>
      </c>
      <c r="D656" s="6" t="s">
        <v>1043</v>
      </c>
      <c r="E656" s="7">
        <v>45489</v>
      </c>
      <c r="F656" s="8">
        <v>350000</v>
      </c>
      <c r="G656" s="8">
        <v>1</v>
      </c>
      <c r="H656" s="6">
        <v>35</v>
      </c>
      <c r="I656" s="6" t="s">
        <v>1090</v>
      </c>
      <c r="J656" s="6" t="s">
        <v>1091</v>
      </c>
    </row>
    <row r="657" spans="1:10" ht="409.5" x14ac:dyDescent="0.25">
      <c r="A657" s="6" t="str">
        <f>HYPERLINK("https://grants.gov/search-results-detail/352289","24-538")</f>
        <v>24-538</v>
      </c>
      <c r="B657" s="6" t="s">
        <v>1915</v>
      </c>
      <c r="C657" s="6" t="s">
        <v>322</v>
      </c>
      <c r="D657" s="6" t="s">
        <v>323</v>
      </c>
      <c r="E657" s="7">
        <v>45427</v>
      </c>
      <c r="F657" s="8" t="s">
        <v>18</v>
      </c>
      <c r="G657" s="8" t="s">
        <v>18</v>
      </c>
      <c r="H657" s="6">
        <v>4</v>
      </c>
      <c r="I657" s="6" t="s">
        <v>1916</v>
      </c>
      <c r="J657" s="6" t="s">
        <v>1917</v>
      </c>
    </row>
    <row r="658" spans="1:10" ht="409.5" x14ac:dyDescent="0.25">
      <c r="A658" s="6" t="str">
        <f>HYPERLINK("https://grants.gov/search-results-detail/352033","24-533")</f>
        <v>24-533</v>
      </c>
      <c r="B658" s="6" t="s">
        <v>1956</v>
      </c>
      <c r="C658" s="6" t="s">
        <v>322</v>
      </c>
      <c r="D658" s="6" t="s">
        <v>323</v>
      </c>
      <c r="E658" s="7">
        <v>45427</v>
      </c>
      <c r="F658" s="8" t="s">
        <v>18</v>
      </c>
      <c r="G658" s="8">
        <v>15000000</v>
      </c>
      <c r="H658" s="6">
        <v>2</v>
      </c>
      <c r="I658" s="6" t="s">
        <v>1957</v>
      </c>
      <c r="J658" s="6" t="s">
        <v>1958</v>
      </c>
    </row>
    <row r="659" spans="1:10" ht="409.5" x14ac:dyDescent="0.25">
      <c r="A659" s="6" t="str">
        <f>HYPERLINK("https://grants.gov/search-results-detail/349943","23-617")</f>
        <v>23-617</v>
      </c>
      <c r="B659" s="6" t="s">
        <v>2198</v>
      </c>
      <c r="C659" s="6" t="s">
        <v>322</v>
      </c>
      <c r="D659" s="6" t="s">
        <v>323</v>
      </c>
      <c r="E659" s="7">
        <v>45427</v>
      </c>
      <c r="F659" s="8" t="s">
        <v>18</v>
      </c>
      <c r="G659" s="8" t="s">
        <v>18</v>
      </c>
      <c r="H659" s="6">
        <v>25</v>
      </c>
      <c r="I659" s="6" t="s">
        <v>2199</v>
      </c>
      <c r="J659" s="6" t="s">
        <v>2200</v>
      </c>
    </row>
    <row r="660" spans="1:10" ht="409.5" x14ac:dyDescent="0.25">
      <c r="A660" s="6" t="str">
        <f>HYPERLINK("https://grants.gov/search-results-detail/348498","23-515")</f>
        <v>23-515</v>
      </c>
      <c r="B660" s="6" t="s">
        <v>2281</v>
      </c>
      <c r="C660" s="6" t="s">
        <v>322</v>
      </c>
      <c r="D660" s="6" t="s">
        <v>323</v>
      </c>
      <c r="E660" s="7">
        <v>45427</v>
      </c>
      <c r="F660" s="8" t="s">
        <v>18</v>
      </c>
      <c r="G660" s="8">
        <v>275000</v>
      </c>
      <c r="H660" s="6">
        <v>360</v>
      </c>
      <c r="I660" s="6" t="s">
        <v>2282</v>
      </c>
      <c r="J660" s="6" t="s">
        <v>2283</v>
      </c>
    </row>
    <row r="661" spans="1:10" ht="409.5" x14ac:dyDescent="0.25">
      <c r="A661" s="6" t="str">
        <f>HYPERLINK("https://grants.gov/search-results-detail/328599","20-597")</f>
        <v>20-597</v>
      </c>
      <c r="B661" s="6" t="s">
        <v>2734</v>
      </c>
      <c r="C661" s="6" t="s">
        <v>322</v>
      </c>
      <c r="D661" s="6" t="s">
        <v>323</v>
      </c>
      <c r="E661" s="7">
        <v>45427</v>
      </c>
      <c r="F661" s="8" t="s">
        <v>18</v>
      </c>
      <c r="G661" s="8" t="s">
        <v>18</v>
      </c>
      <c r="I661" s="6" t="s">
        <v>2735</v>
      </c>
      <c r="J661" s="6" t="s">
        <v>2736</v>
      </c>
    </row>
    <row r="662" spans="1:10" ht="409.5" x14ac:dyDescent="0.25">
      <c r="A662" s="6" t="str">
        <f>HYPERLINK("https://grants.gov/search-results-detail/350348","23-625")</f>
        <v>23-625</v>
      </c>
      <c r="B662" s="6" t="s">
        <v>2177</v>
      </c>
      <c r="C662" s="6" t="s">
        <v>322</v>
      </c>
      <c r="D662" s="6" t="s">
        <v>323</v>
      </c>
      <c r="E662" s="7">
        <v>45428</v>
      </c>
      <c r="F662" s="8" t="s">
        <v>18</v>
      </c>
      <c r="G662" s="8">
        <v>400000</v>
      </c>
      <c r="I662" s="6" t="s">
        <v>2178</v>
      </c>
      <c r="J662" s="6" t="s">
        <v>2179</v>
      </c>
    </row>
    <row r="663" spans="1:10" ht="409.5" x14ac:dyDescent="0.25">
      <c r="A663" s="6" t="str">
        <f>HYPERLINK("https://grants.gov/search-results-detail/349643","23-610")</f>
        <v>23-610</v>
      </c>
      <c r="B663" s="6" t="s">
        <v>2228</v>
      </c>
      <c r="C663" s="6" t="s">
        <v>322</v>
      </c>
      <c r="D663" s="6" t="s">
        <v>323</v>
      </c>
      <c r="E663" s="7">
        <v>45429</v>
      </c>
      <c r="F663" s="8">
        <v>20000000</v>
      </c>
      <c r="G663" s="8" t="s">
        <v>18</v>
      </c>
      <c r="I663" s="6" t="s">
        <v>1253</v>
      </c>
      <c r="J663" s="6" t="s">
        <v>2229</v>
      </c>
    </row>
    <row r="664" spans="1:10" ht="409.5" x14ac:dyDescent="0.25">
      <c r="A664" s="6" t="str">
        <f>HYPERLINK("https://grants.gov/search-results-detail/352560","24-549")</f>
        <v>24-549</v>
      </c>
      <c r="B664" s="6" t="s">
        <v>1800</v>
      </c>
      <c r="C664" s="6" t="s">
        <v>322</v>
      </c>
      <c r="D664" s="6" t="s">
        <v>323</v>
      </c>
      <c r="E664" s="7">
        <v>45440</v>
      </c>
      <c r="F664" s="8">
        <v>800000</v>
      </c>
      <c r="G664" s="8">
        <v>400000</v>
      </c>
      <c r="H664" s="6">
        <v>24</v>
      </c>
      <c r="I664" s="6" t="s">
        <v>1801</v>
      </c>
      <c r="J664" s="6" t="s">
        <v>1802</v>
      </c>
    </row>
    <row r="665" spans="1:10" ht="409.5" x14ac:dyDescent="0.25">
      <c r="A665" s="6" t="str">
        <f>HYPERLINK("https://grants.gov/search-results-detail/352795","24-553")</f>
        <v>24-553</v>
      </c>
      <c r="B665" s="6" t="s">
        <v>1715</v>
      </c>
      <c r="C665" s="6" t="s">
        <v>322</v>
      </c>
      <c r="D665" s="6" t="s">
        <v>323</v>
      </c>
      <c r="E665" s="7">
        <v>45442</v>
      </c>
      <c r="F665" s="8">
        <v>2000000</v>
      </c>
      <c r="G665" s="8" t="s">
        <v>18</v>
      </c>
      <c r="H665" s="6">
        <v>6</v>
      </c>
      <c r="I665" s="6" t="s">
        <v>1716</v>
      </c>
      <c r="J665" s="6" t="s">
        <v>1717</v>
      </c>
    </row>
    <row r="666" spans="1:10" ht="409.5" x14ac:dyDescent="0.25">
      <c r="A666" s="6" t="str">
        <f>HYPERLINK("https://grants.gov/search-results-detail/330777","21-551")</f>
        <v>21-551</v>
      </c>
      <c r="B666" s="6" t="s">
        <v>2706</v>
      </c>
      <c r="C666" s="6" t="s">
        <v>322</v>
      </c>
      <c r="D666" s="6" t="s">
        <v>323</v>
      </c>
      <c r="E666" s="7">
        <v>45442</v>
      </c>
      <c r="F666" s="8">
        <v>7000000</v>
      </c>
      <c r="G666" s="8" t="s">
        <v>18</v>
      </c>
      <c r="H666" s="6">
        <v>30</v>
      </c>
      <c r="I666" s="6" t="s">
        <v>1253</v>
      </c>
      <c r="J666" s="6" t="s">
        <v>2707</v>
      </c>
    </row>
    <row r="667" spans="1:10" ht="409.5" x14ac:dyDescent="0.25">
      <c r="A667" s="6" t="str">
        <f>HYPERLINK("https://grants.gov/search-results-detail/352559","24-548")</f>
        <v>24-548</v>
      </c>
      <c r="B667" s="6" t="s">
        <v>1803</v>
      </c>
      <c r="C667" s="6" t="s">
        <v>322</v>
      </c>
      <c r="D667" s="6" t="s">
        <v>323</v>
      </c>
      <c r="E667" s="7">
        <v>45443</v>
      </c>
      <c r="F667" s="8" t="s">
        <v>18</v>
      </c>
      <c r="G667" s="8" t="s">
        <v>18</v>
      </c>
      <c r="I667" s="6" t="s">
        <v>1804</v>
      </c>
      <c r="J667" s="6" t="s">
        <v>1805</v>
      </c>
    </row>
    <row r="668" spans="1:10" ht="409.5" x14ac:dyDescent="0.25">
      <c r="A668" s="6" t="str">
        <f>HYPERLINK("https://grants.gov/search-results-detail/352796","24-554")</f>
        <v>24-554</v>
      </c>
      <c r="B668" s="6" t="s">
        <v>1723</v>
      </c>
      <c r="C668" s="6" t="s">
        <v>322</v>
      </c>
      <c r="D668" s="6" t="s">
        <v>323</v>
      </c>
      <c r="E668" s="7">
        <v>45446</v>
      </c>
      <c r="F668" s="8">
        <v>1200000</v>
      </c>
      <c r="G668" s="8" t="s">
        <v>18</v>
      </c>
      <c r="H668" s="6">
        <v>10</v>
      </c>
      <c r="I668" s="6" t="s">
        <v>1724</v>
      </c>
      <c r="J668" s="6" t="s">
        <v>1725</v>
      </c>
    </row>
    <row r="669" spans="1:10" ht="409.5" x14ac:dyDescent="0.25">
      <c r="A669" s="6" t="str">
        <f>HYPERLINK("https://grants.gov/search-results-detail/334326","21-595")</f>
        <v>21-595</v>
      </c>
      <c r="B669" s="6" t="s">
        <v>2649</v>
      </c>
      <c r="C669" s="6" t="s">
        <v>322</v>
      </c>
      <c r="D669" s="6" t="s">
        <v>323</v>
      </c>
      <c r="E669" s="7">
        <v>45446</v>
      </c>
      <c r="F669" s="8">
        <v>3500000</v>
      </c>
      <c r="G669" s="8">
        <v>100000</v>
      </c>
      <c r="H669" s="6">
        <v>55</v>
      </c>
      <c r="I669" s="6" t="s">
        <v>2650</v>
      </c>
      <c r="J669" s="6" t="s">
        <v>2651</v>
      </c>
    </row>
    <row r="670" spans="1:10" ht="409.5" x14ac:dyDescent="0.25">
      <c r="A670" s="6" t="str">
        <f>HYPERLINK("https://grants.gov/search-results-detail/352819","24-555")</f>
        <v>24-555</v>
      </c>
      <c r="B670" s="6" t="s">
        <v>1711</v>
      </c>
      <c r="C670" s="6" t="s">
        <v>322</v>
      </c>
      <c r="D670" s="6" t="s">
        <v>323</v>
      </c>
      <c r="E670" s="7">
        <v>45447</v>
      </c>
      <c r="F670" s="8">
        <v>2000000</v>
      </c>
      <c r="G670" s="8" t="s">
        <v>18</v>
      </c>
      <c r="I670" s="6" t="s">
        <v>1345</v>
      </c>
      <c r="J670" s="6" t="s">
        <v>1712</v>
      </c>
    </row>
    <row r="671" spans="1:10" ht="409.5" x14ac:dyDescent="0.25">
      <c r="A671" s="6" t="str">
        <f>HYPERLINK("https://grants.gov/search-results-detail/352562","24-551")</f>
        <v>24-551</v>
      </c>
      <c r="B671" s="6" t="s">
        <v>1794</v>
      </c>
      <c r="C671" s="6" t="s">
        <v>322</v>
      </c>
      <c r="D671" s="6" t="s">
        <v>323</v>
      </c>
      <c r="E671" s="7">
        <v>45447</v>
      </c>
      <c r="F671" s="8">
        <v>1000000</v>
      </c>
      <c r="G671" s="8" t="s">
        <v>18</v>
      </c>
      <c r="H671" s="6">
        <v>33</v>
      </c>
      <c r="I671" s="6" t="s">
        <v>1795</v>
      </c>
      <c r="J671" s="6" t="s">
        <v>1796</v>
      </c>
    </row>
    <row r="672" spans="1:10" ht="409.5" x14ac:dyDescent="0.25">
      <c r="A672" s="6" t="str">
        <f>HYPERLINK("https://grants.gov/search-results-detail/352873","PD-24-297Y")</f>
        <v>PD-24-297Y</v>
      </c>
      <c r="B672" s="6" t="s">
        <v>1681</v>
      </c>
      <c r="C672" s="6" t="s">
        <v>322</v>
      </c>
      <c r="D672" s="6" t="s">
        <v>323</v>
      </c>
      <c r="E672" s="7">
        <v>45449</v>
      </c>
      <c r="F672" s="8" t="s">
        <v>18</v>
      </c>
      <c r="G672" s="8" t="s">
        <v>18</v>
      </c>
      <c r="I672" s="6" t="s">
        <v>96</v>
      </c>
      <c r="J672" s="6" t="s">
        <v>1682</v>
      </c>
    </row>
    <row r="673" spans="1:10" ht="409.5" x14ac:dyDescent="0.25">
      <c r="A673" s="6" t="str">
        <f>HYPERLINK("https://grants.gov/search-results-detail/352936","24-557")</f>
        <v>24-557</v>
      </c>
      <c r="B673" s="6" t="s">
        <v>1622</v>
      </c>
      <c r="C673" s="6" t="s">
        <v>322</v>
      </c>
      <c r="D673" s="6" t="s">
        <v>323</v>
      </c>
      <c r="E673" s="7">
        <v>45453</v>
      </c>
      <c r="F673" s="8" t="s">
        <v>18</v>
      </c>
      <c r="G673" s="8">
        <v>3500000</v>
      </c>
      <c r="I673" s="6" t="s">
        <v>1623</v>
      </c>
      <c r="J673" s="6" t="s">
        <v>1624</v>
      </c>
    </row>
    <row r="674" spans="1:10" ht="409.5" x14ac:dyDescent="0.25">
      <c r="A674" s="6" t="str">
        <f>HYPERLINK("https://grants.gov/search-results-detail/352911","24-556")</f>
        <v>24-556</v>
      </c>
      <c r="B674" s="6" t="s">
        <v>1629</v>
      </c>
      <c r="C674" s="6" t="s">
        <v>322</v>
      </c>
      <c r="D674" s="6" t="s">
        <v>323</v>
      </c>
      <c r="E674" s="7">
        <v>45454</v>
      </c>
      <c r="F674" s="8">
        <v>5000000</v>
      </c>
      <c r="G674" s="8" t="s">
        <v>18</v>
      </c>
      <c r="H674" s="6">
        <v>7</v>
      </c>
      <c r="I674" s="6" t="s">
        <v>1253</v>
      </c>
      <c r="J674" s="6" t="s">
        <v>1630</v>
      </c>
    </row>
    <row r="675" spans="1:10" ht="409.5" x14ac:dyDescent="0.25">
      <c r="A675" s="6" t="str">
        <f>HYPERLINK("https://grants.gov/search-results-detail/349319","23-604")</f>
        <v>23-604</v>
      </c>
      <c r="B675" s="6" t="s">
        <v>2239</v>
      </c>
      <c r="C675" s="6" t="s">
        <v>322</v>
      </c>
      <c r="D675" s="6" t="s">
        <v>323</v>
      </c>
      <c r="E675" s="7">
        <v>45454</v>
      </c>
      <c r="F675" s="8" t="s">
        <v>18</v>
      </c>
      <c r="G675" s="8">
        <v>1000000</v>
      </c>
      <c r="I675" s="6" t="s">
        <v>2240</v>
      </c>
      <c r="J675" s="6" t="s">
        <v>2241</v>
      </c>
    </row>
    <row r="676" spans="1:10" ht="409.5" x14ac:dyDescent="0.25">
      <c r="A676" s="6" t="str">
        <f>HYPERLINK("https://grants.gov/search-results-detail/326791","20-570")</f>
        <v>20-570</v>
      </c>
      <c r="B676" s="6" t="s">
        <v>2757</v>
      </c>
      <c r="C676" s="6" t="s">
        <v>322</v>
      </c>
      <c r="D676" s="6" t="s">
        <v>323</v>
      </c>
      <c r="E676" s="7">
        <v>45455</v>
      </c>
      <c r="F676" s="8">
        <v>150000</v>
      </c>
      <c r="G676" s="8">
        <v>20000</v>
      </c>
      <c r="I676" s="6" t="s">
        <v>2758</v>
      </c>
      <c r="J676" s="6" t="s">
        <v>2759</v>
      </c>
    </row>
    <row r="677" spans="1:10" ht="409.5" x14ac:dyDescent="0.25">
      <c r="A677" s="6" t="str">
        <f>HYPERLINK("https://grants.gov/search-results-detail/350322","23-623")</f>
        <v>23-623</v>
      </c>
      <c r="B677" s="6" t="s">
        <v>2180</v>
      </c>
      <c r="C677" s="6" t="s">
        <v>322</v>
      </c>
      <c r="D677" s="6" t="s">
        <v>323</v>
      </c>
      <c r="E677" s="7">
        <v>45456</v>
      </c>
      <c r="F677" s="8" t="s">
        <v>18</v>
      </c>
      <c r="G677" s="8" t="s">
        <v>18</v>
      </c>
      <c r="I677" s="6" t="s">
        <v>2181</v>
      </c>
      <c r="J677" s="6" t="s">
        <v>2182</v>
      </c>
    </row>
    <row r="678" spans="1:10" ht="409.5" x14ac:dyDescent="0.25">
      <c r="A678" s="6" t="str">
        <f>HYPERLINK("https://grants.gov/search-results-detail/352340","24-541")</f>
        <v>24-541</v>
      </c>
      <c r="B678" s="6" t="s">
        <v>1897</v>
      </c>
      <c r="C678" s="6" t="s">
        <v>322</v>
      </c>
      <c r="D678" s="6" t="s">
        <v>323</v>
      </c>
      <c r="E678" s="7">
        <v>45460</v>
      </c>
      <c r="F678" s="8">
        <v>3000000</v>
      </c>
      <c r="G678" s="8">
        <v>500000</v>
      </c>
      <c r="I678" s="6" t="s">
        <v>1898</v>
      </c>
      <c r="J678" s="6" t="s">
        <v>1899</v>
      </c>
    </row>
    <row r="679" spans="1:10" ht="409.5" x14ac:dyDescent="0.25">
      <c r="A679" s="6" t="str">
        <f>HYPERLINK("https://grants.gov/search-results-detail/45817","PD-09-7252")</f>
        <v>PD-09-7252</v>
      </c>
      <c r="B679" s="6" t="s">
        <v>3045</v>
      </c>
      <c r="C679" s="6" t="s">
        <v>322</v>
      </c>
      <c r="D679" s="6" t="s">
        <v>323</v>
      </c>
      <c r="E679" s="7">
        <v>45460</v>
      </c>
      <c r="F679" s="8" t="s">
        <v>18</v>
      </c>
      <c r="G679" s="8" t="s">
        <v>18</v>
      </c>
      <c r="H679" s="6">
        <v>35</v>
      </c>
      <c r="I679" s="6" t="s">
        <v>96</v>
      </c>
      <c r="J679" s="6" t="s">
        <v>3046</v>
      </c>
    </row>
    <row r="680" spans="1:10" ht="409.5" x14ac:dyDescent="0.25">
      <c r="A680" s="6" t="str">
        <f>HYPERLINK("https://grants.gov/search-results-detail/353134","24-559")</f>
        <v>24-559</v>
      </c>
      <c r="B680" s="6" t="s">
        <v>1344</v>
      </c>
      <c r="C680" s="6" t="s">
        <v>322</v>
      </c>
      <c r="D680" s="6" t="s">
        <v>323</v>
      </c>
      <c r="E680" s="7">
        <v>45463</v>
      </c>
      <c r="F680" s="8" t="s">
        <v>18</v>
      </c>
      <c r="G680" s="8">
        <v>1500000</v>
      </c>
      <c r="H680" s="6">
        <v>10</v>
      </c>
      <c r="I680" s="6" t="s">
        <v>1345</v>
      </c>
      <c r="J680" s="6" t="s">
        <v>1346</v>
      </c>
    </row>
    <row r="681" spans="1:10" ht="409.5" x14ac:dyDescent="0.25">
      <c r="A681" s="6" t="str">
        <f>HYPERLINK("https://grants.gov/search-results-detail/353192","24-560")</f>
        <v>24-560</v>
      </c>
      <c r="B681" s="6" t="s">
        <v>1252</v>
      </c>
      <c r="C681" s="6" t="s">
        <v>322</v>
      </c>
      <c r="D681" s="6" t="s">
        <v>323</v>
      </c>
      <c r="E681" s="7">
        <v>45464</v>
      </c>
      <c r="F681" s="8">
        <v>1200000</v>
      </c>
      <c r="G681" s="8">
        <v>800000</v>
      </c>
      <c r="H681" s="6">
        <v>15</v>
      </c>
      <c r="I681" s="6" t="s">
        <v>1253</v>
      </c>
      <c r="J681" s="6" t="s">
        <v>1254</v>
      </c>
    </row>
    <row r="682" spans="1:10" ht="300" x14ac:dyDescent="0.25">
      <c r="A682" s="6" t="str">
        <f>HYPERLINK("https://grants.gov/search-results-detail/353135","24-561")</f>
        <v>24-561</v>
      </c>
      <c r="B682" s="6" t="s">
        <v>1341</v>
      </c>
      <c r="C682" s="6" t="s">
        <v>322</v>
      </c>
      <c r="D682" s="6" t="s">
        <v>323</v>
      </c>
      <c r="E682" s="7">
        <v>45464</v>
      </c>
      <c r="F682" s="8" t="s">
        <v>18</v>
      </c>
      <c r="G682" s="8" t="s">
        <v>18</v>
      </c>
      <c r="H682" s="6">
        <v>10</v>
      </c>
      <c r="I682" s="6" t="s">
        <v>1342</v>
      </c>
      <c r="J682" s="6" t="s">
        <v>1343</v>
      </c>
    </row>
    <row r="683" spans="1:10" ht="409.5" x14ac:dyDescent="0.25">
      <c r="A683" s="6" t="str">
        <f>HYPERLINK("https://grants.gov/search-results-detail/353280","24-563")</f>
        <v>24-563</v>
      </c>
      <c r="B683" s="6" t="s">
        <v>1113</v>
      </c>
      <c r="C683" s="6" t="s">
        <v>322</v>
      </c>
      <c r="D683" s="6" t="s">
        <v>323</v>
      </c>
      <c r="E683" s="7">
        <v>45467</v>
      </c>
      <c r="F683" s="8">
        <v>5000000</v>
      </c>
      <c r="G683" s="8">
        <v>125000</v>
      </c>
      <c r="H683" s="6">
        <v>60</v>
      </c>
      <c r="I683" s="6" t="s">
        <v>1114</v>
      </c>
      <c r="J683" s="6" t="s">
        <v>1115</v>
      </c>
    </row>
    <row r="684" spans="1:10" ht="409.5" x14ac:dyDescent="0.25">
      <c r="A684" s="6" t="str">
        <f>HYPERLINK("https://grants.gov/search-results-detail/344070","23-506")</f>
        <v>23-506</v>
      </c>
      <c r="B684" s="6" t="s">
        <v>2444</v>
      </c>
      <c r="C684" s="6" t="s">
        <v>322</v>
      </c>
      <c r="D684" s="6" t="s">
        <v>323</v>
      </c>
      <c r="E684" s="7">
        <v>45467</v>
      </c>
      <c r="F684" s="8">
        <v>28000000</v>
      </c>
      <c r="G684" s="8">
        <v>400000</v>
      </c>
      <c r="H684" s="6">
        <v>25</v>
      </c>
      <c r="I684" s="6" t="s">
        <v>2445</v>
      </c>
      <c r="J684" s="6" t="s">
        <v>2446</v>
      </c>
    </row>
    <row r="685" spans="1:10" ht="285" x14ac:dyDescent="0.25">
      <c r="A685" s="6" t="str">
        <f>HYPERLINK("https://grants.gov/search-results-detail/347025","23-566")</f>
        <v>23-566</v>
      </c>
      <c r="B685" s="6" t="s">
        <v>2353</v>
      </c>
      <c r="C685" s="6" t="s">
        <v>322</v>
      </c>
      <c r="D685" s="6" t="s">
        <v>323</v>
      </c>
      <c r="E685" s="7">
        <v>45474</v>
      </c>
      <c r="F685" s="8" t="s">
        <v>18</v>
      </c>
      <c r="G685" s="8" t="s">
        <v>18</v>
      </c>
      <c r="H685" s="6">
        <v>30</v>
      </c>
      <c r="I685" s="6" t="s">
        <v>2354</v>
      </c>
      <c r="J685" s="6" t="s">
        <v>2355</v>
      </c>
    </row>
    <row r="686" spans="1:10" ht="409.5" x14ac:dyDescent="0.25">
      <c r="A686" s="6" t="str">
        <f>HYPERLINK("https://grants.gov/search-results-detail/337083","22-542")</f>
        <v>22-542</v>
      </c>
      <c r="B686" s="6" t="s">
        <v>2574</v>
      </c>
      <c r="C686" s="6" t="s">
        <v>322</v>
      </c>
      <c r="D686" s="6" t="s">
        <v>323</v>
      </c>
      <c r="E686" s="7">
        <v>45474</v>
      </c>
      <c r="F686" s="8">
        <v>2000000</v>
      </c>
      <c r="G686" s="8">
        <v>500000</v>
      </c>
      <c r="H686" s="6">
        <v>14</v>
      </c>
      <c r="I686" s="6" t="s">
        <v>2575</v>
      </c>
      <c r="J686" s="6" t="s">
        <v>2576</v>
      </c>
    </row>
    <row r="687" spans="1:10" ht="409.5" x14ac:dyDescent="0.25">
      <c r="A687" s="6" t="str">
        <f>HYPERLINK("https://grants.gov/search-results-detail/336027","22-500")</f>
        <v>22-500</v>
      </c>
      <c r="B687" s="6" t="s">
        <v>2596</v>
      </c>
      <c r="C687" s="6" t="s">
        <v>322</v>
      </c>
      <c r="D687" s="6" t="s">
        <v>323</v>
      </c>
      <c r="E687" s="7">
        <v>45474</v>
      </c>
      <c r="F687" s="8" t="s">
        <v>18</v>
      </c>
      <c r="G687" s="8">
        <v>500000</v>
      </c>
      <c r="H687" s="6">
        <v>30</v>
      </c>
      <c r="I687" s="6" t="s">
        <v>2597</v>
      </c>
      <c r="J687" s="6" t="s">
        <v>2598</v>
      </c>
    </row>
    <row r="688" spans="1:10" ht="409.5" x14ac:dyDescent="0.25">
      <c r="A688" s="6" t="str">
        <f>HYPERLINK("https://grants.gov/search-results-detail/348096","23-587")</f>
        <v>23-587</v>
      </c>
      <c r="B688" s="6" t="s">
        <v>2291</v>
      </c>
      <c r="C688" s="6" t="s">
        <v>322</v>
      </c>
      <c r="D688" s="6" t="s">
        <v>323</v>
      </c>
      <c r="E688" s="7">
        <v>45482</v>
      </c>
      <c r="F688" s="8" t="s">
        <v>18</v>
      </c>
      <c r="G688" s="8">
        <v>16000000</v>
      </c>
      <c r="I688" s="6" t="s">
        <v>2292</v>
      </c>
      <c r="J688" s="6" t="s">
        <v>2293</v>
      </c>
    </row>
    <row r="689" spans="1:10" ht="409.5" x14ac:dyDescent="0.25">
      <c r="A689" s="6" t="str">
        <f>HYPERLINK("https://grants.gov/search-results-detail/349724","23-572")</f>
        <v>23-572</v>
      </c>
      <c r="B689" s="6" t="s">
        <v>2210</v>
      </c>
      <c r="C689" s="6" t="s">
        <v>322</v>
      </c>
      <c r="D689" s="6" t="s">
        <v>323</v>
      </c>
      <c r="E689" s="7">
        <v>45488</v>
      </c>
      <c r="F689" s="8" t="s">
        <v>18</v>
      </c>
      <c r="G689" s="8">
        <v>330000</v>
      </c>
      <c r="H689" s="6">
        <v>80</v>
      </c>
      <c r="I689" s="6" t="s">
        <v>2211</v>
      </c>
      <c r="J689" s="6" t="s">
        <v>2212</v>
      </c>
    </row>
    <row r="690" spans="1:10" ht="409.5" x14ac:dyDescent="0.25">
      <c r="A690" s="6" t="str">
        <f>HYPERLINK("https://grants.gov/search-results-detail/347330","23-574")</f>
        <v>23-574</v>
      </c>
      <c r="B690" s="6" t="s">
        <v>2350</v>
      </c>
      <c r="C690" s="6" t="s">
        <v>322</v>
      </c>
      <c r="D690" s="6" t="s">
        <v>323</v>
      </c>
      <c r="E690" s="7">
        <v>45488</v>
      </c>
      <c r="F690" s="8">
        <v>5000000</v>
      </c>
      <c r="G690" s="8">
        <v>2000000</v>
      </c>
      <c r="H690" s="6">
        <v>16</v>
      </c>
      <c r="I690" s="6" t="s">
        <v>2351</v>
      </c>
      <c r="J690" s="6" t="s">
        <v>2352</v>
      </c>
    </row>
    <row r="691" spans="1:10" ht="409.5" x14ac:dyDescent="0.25">
      <c r="A691" s="6" t="str">
        <f>HYPERLINK("https://grants.gov/search-results-detail/347023","23-564")</f>
        <v>23-564</v>
      </c>
      <c r="B691" s="6" t="s">
        <v>2358</v>
      </c>
      <c r="C691" s="6" t="s">
        <v>322</v>
      </c>
      <c r="D691" s="6" t="s">
        <v>323</v>
      </c>
      <c r="E691" s="7">
        <v>45488</v>
      </c>
      <c r="F691" s="8" t="s">
        <v>18</v>
      </c>
      <c r="G691" s="8" t="s">
        <v>18</v>
      </c>
      <c r="I691" s="6" t="s">
        <v>1253</v>
      </c>
      <c r="J691" s="6" t="s">
        <v>2359</v>
      </c>
    </row>
    <row r="692" spans="1:10" ht="409.5" x14ac:dyDescent="0.25">
      <c r="A692" s="6" t="str">
        <f>HYPERLINK("https://grants.gov/search-results-detail/344634","PD-22-1332")</f>
        <v>PD-22-1332</v>
      </c>
      <c r="B692" s="6" t="s">
        <v>2429</v>
      </c>
      <c r="C692" s="6" t="s">
        <v>322</v>
      </c>
      <c r="D692" s="6" t="s">
        <v>323</v>
      </c>
      <c r="E692" s="7">
        <v>45488</v>
      </c>
      <c r="F692" s="8" t="s">
        <v>18</v>
      </c>
      <c r="G692" s="8" t="s">
        <v>18</v>
      </c>
      <c r="I692" s="6" t="s">
        <v>96</v>
      </c>
      <c r="J692" s="6" t="s">
        <v>2430</v>
      </c>
    </row>
    <row r="693" spans="1:10" ht="409.5" x14ac:dyDescent="0.25">
      <c r="A693" s="6" t="str">
        <f>HYPERLINK("https://grants.gov/search-results-detail/323597","20-538")</f>
        <v>20-538</v>
      </c>
      <c r="B693" s="6" t="s">
        <v>2773</v>
      </c>
      <c r="C693" s="6" t="s">
        <v>322</v>
      </c>
      <c r="D693" s="6" t="s">
        <v>323</v>
      </c>
      <c r="E693" s="7">
        <v>45488</v>
      </c>
      <c r="F693" s="8" t="s">
        <v>18</v>
      </c>
      <c r="G693" s="8" t="s">
        <v>18</v>
      </c>
      <c r="H693" s="6">
        <v>35</v>
      </c>
      <c r="I693" s="6" t="s">
        <v>2774</v>
      </c>
      <c r="J693" s="6" t="s">
        <v>2775</v>
      </c>
    </row>
    <row r="694" spans="1:10" ht="409.5" x14ac:dyDescent="0.25">
      <c r="A694" s="6" t="str">
        <f>HYPERLINK("https://grants.gov/search-results-detail/45812","PD-98-1311")</f>
        <v>PD-98-1311</v>
      </c>
      <c r="B694" s="6" t="s">
        <v>3043</v>
      </c>
      <c r="C694" s="6" t="s">
        <v>322</v>
      </c>
      <c r="D694" s="6" t="s">
        <v>323</v>
      </c>
      <c r="E694" s="7">
        <v>45488</v>
      </c>
      <c r="F694" s="8" t="s">
        <v>18</v>
      </c>
      <c r="G694" s="8" t="s">
        <v>18</v>
      </c>
      <c r="I694" s="6" t="s">
        <v>96</v>
      </c>
      <c r="J694" s="6" t="s">
        <v>3044</v>
      </c>
    </row>
    <row r="695" spans="1:10" ht="409.5" x14ac:dyDescent="0.25">
      <c r="A695" s="6" t="str">
        <f>HYPERLINK("https://grants.gov/search-results-detail/344124","23-510")</f>
        <v>23-510</v>
      </c>
      <c r="B695" s="6" t="s">
        <v>2440</v>
      </c>
      <c r="C695" s="6" t="s">
        <v>322</v>
      </c>
      <c r="D695" s="6" t="s">
        <v>323</v>
      </c>
      <c r="E695" s="7">
        <v>45490</v>
      </c>
      <c r="F695" s="8">
        <v>2000000</v>
      </c>
      <c r="G695" s="8">
        <v>200000</v>
      </c>
      <c r="I695" s="6" t="s">
        <v>96</v>
      </c>
      <c r="J695" s="6" t="s">
        <v>2441</v>
      </c>
    </row>
    <row r="696" spans="1:10" ht="409.5" x14ac:dyDescent="0.25">
      <c r="A696" s="6" t="str">
        <f>HYPERLINK("https://grants.gov/search-results-detail/353707","24-566")</f>
        <v>24-566</v>
      </c>
      <c r="B696" s="6" t="s">
        <v>321</v>
      </c>
      <c r="C696" s="6" t="s">
        <v>322</v>
      </c>
      <c r="D696" s="6" t="s">
        <v>323</v>
      </c>
      <c r="E696" s="7">
        <v>45495</v>
      </c>
      <c r="F696" s="8" t="s">
        <v>18</v>
      </c>
      <c r="G696" s="8">
        <v>4500000</v>
      </c>
      <c r="I696" s="6" t="s">
        <v>324</v>
      </c>
      <c r="J696" s="6" t="s">
        <v>325</v>
      </c>
    </row>
    <row r="697" spans="1:10" ht="409.5" x14ac:dyDescent="0.25">
      <c r="A697" s="6" t="str">
        <f>HYPERLINK("https://grants.gov/search-results-detail/339594","22-586")</f>
        <v>22-586</v>
      </c>
      <c r="B697" s="6" t="s">
        <v>2505</v>
      </c>
      <c r="C697" s="6" t="s">
        <v>322</v>
      </c>
      <c r="D697" s="6" t="s">
        <v>323</v>
      </c>
      <c r="E697" s="7">
        <v>45497</v>
      </c>
      <c r="F697" s="8" t="s">
        <v>18</v>
      </c>
      <c r="G697" s="8">
        <v>400000</v>
      </c>
      <c r="I697" s="6" t="s">
        <v>2506</v>
      </c>
      <c r="J697" s="6" t="s">
        <v>2507</v>
      </c>
    </row>
    <row r="698" spans="1:10" ht="409.5" x14ac:dyDescent="0.25">
      <c r="A698" s="6" t="str">
        <f>HYPERLINK("https://grants.gov/search-results-detail/352455","24-544")</f>
        <v>24-544</v>
      </c>
      <c r="B698" s="6" t="s">
        <v>1844</v>
      </c>
      <c r="C698" s="6" t="s">
        <v>322</v>
      </c>
      <c r="D698" s="6" t="s">
        <v>323</v>
      </c>
      <c r="E698" s="7">
        <v>45503</v>
      </c>
      <c r="F698" s="8" t="s">
        <v>18</v>
      </c>
      <c r="G698" s="8" t="s">
        <v>18</v>
      </c>
      <c r="I698" s="6" t="s">
        <v>1845</v>
      </c>
      <c r="J698" s="6" t="s">
        <v>1846</v>
      </c>
    </row>
    <row r="699" spans="1:10" ht="409.5" x14ac:dyDescent="0.25">
      <c r="A699" s="6" t="str">
        <f>HYPERLINK("https://grants.gov/search-results-detail/344001","23-503")</f>
        <v>23-503</v>
      </c>
      <c r="B699" s="6" t="s">
        <v>2450</v>
      </c>
      <c r="C699" s="6" t="s">
        <v>322</v>
      </c>
      <c r="D699" s="6" t="s">
        <v>323</v>
      </c>
      <c r="E699" s="7">
        <v>45503</v>
      </c>
      <c r="F699" s="8" t="s">
        <v>18</v>
      </c>
      <c r="G699" s="8" t="s">
        <v>18</v>
      </c>
      <c r="H699" s="6">
        <v>40</v>
      </c>
      <c r="I699" s="6" t="s">
        <v>2451</v>
      </c>
      <c r="J699" s="6" t="s">
        <v>2452</v>
      </c>
    </row>
    <row r="700" spans="1:10" ht="409.5" x14ac:dyDescent="0.25">
      <c r="A700" s="6" t="str">
        <f>HYPERLINK("https://grants.gov/search-results-detail/344002","23-504")</f>
        <v>23-504</v>
      </c>
      <c r="B700" s="6" t="s">
        <v>2453</v>
      </c>
      <c r="C700" s="6" t="s">
        <v>322</v>
      </c>
      <c r="D700" s="6" t="s">
        <v>323</v>
      </c>
      <c r="E700" s="7">
        <v>45504</v>
      </c>
      <c r="F700" s="8" t="s">
        <v>18</v>
      </c>
      <c r="G700" s="8" t="s">
        <v>18</v>
      </c>
      <c r="H700" s="6">
        <v>40</v>
      </c>
      <c r="I700" s="6" t="s">
        <v>2454</v>
      </c>
      <c r="J700" s="6" t="s">
        <v>2455</v>
      </c>
    </row>
    <row r="701" spans="1:10" ht="409.5" x14ac:dyDescent="0.25">
      <c r="A701" s="6" t="str">
        <f>HYPERLINK("https://grants.gov/search-results-detail/333319","21-584")</f>
        <v>21-584</v>
      </c>
      <c r="B701" s="6" t="s">
        <v>2669</v>
      </c>
      <c r="C701" s="6" t="s">
        <v>322</v>
      </c>
      <c r="D701" s="6" t="s">
        <v>323</v>
      </c>
      <c r="E701" s="7">
        <v>45504</v>
      </c>
      <c r="F701" s="8" t="s">
        <v>18</v>
      </c>
      <c r="G701" s="8">
        <v>600000</v>
      </c>
      <c r="I701" s="6" t="s">
        <v>2670</v>
      </c>
      <c r="J701" s="6" t="s">
        <v>2671</v>
      </c>
    </row>
    <row r="702" spans="1:10" ht="409.5" x14ac:dyDescent="0.25">
      <c r="A702" s="6" t="str">
        <f>HYPERLINK("https://grants.gov/search-results-detail/348260","23-568")</f>
        <v>23-568</v>
      </c>
      <c r="B702" s="6" t="s">
        <v>2284</v>
      </c>
      <c r="C702" s="6" t="s">
        <v>322</v>
      </c>
      <c r="D702" s="6" t="s">
        <v>323</v>
      </c>
      <c r="E702" s="7">
        <v>45505</v>
      </c>
      <c r="F702" s="8">
        <v>1200000</v>
      </c>
      <c r="G702" s="8">
        <v>10000</v>
      </c>
      <c r="H702" s="6">
        <v>25</v>
      </c>
      <c r="I702" s="6" t="s">
        <v>96</v>
      </c>
      <c r="J702" s="6" t="s">
        <v>2285</v>
      </c>
    </row>
    <row r="703" spans="1:10" ht="409.5" x14ac:dyDescent="0.25">
      <c r="A703" s="6" t="str">
        <f>HYPERLINK("https://grants.gov/search-results-detail/341405","22-607")</f>
        <v>22-607</v>
      </c>
      <c r="B703" s="6" t="s">
        <v>2484</v>
      </c>
      <c r="C703" s="6" t="s">
        <v>322</v>
      </c>
      <c r="D703" s="6" t="s">
        <v>323</v>
      </c>
      <c r="E703" s="7">
        <v>45505</v>
      </c>
      <c r="F703" s="8" t="s">
        <v>18</v>
      </c>
      <c r="G703" s="8" t="s">
        <v>18</v>
      </c>
      <c r="H703" s="6">
        <v>12</v>
      </c>
      <c r="I703" s="6" t="s">
        <v>96</v>
      </c>
      <c r="J703" s="6" t="s">
        <v>2485</v>
      </c>
    </row>
    <row r="704" spans="1:10" ht="409.5" x14ac:dyDescent="0.25">
      <c r="A704" s="6" t="str">
        <f>HYPERLINK("https://grants.gov/search-results-detail/329432","PD-21-128Y")</f>
        <v>PD-21-128Y</v>
      </c>
      <c r="B704" s="6" t="s">
        <v>2728</v>
      </c>
      <c r="C704" s="6" t="s">
        <v>322</v>
      </c>
      <c r="D704" s="6" t="s">
        <v>323</v>
      </c>
      <c r="E704" s="7">
        <v>45505</v>
      </c>
      <c r="F704" s="8" t="s">
        <v>18</v>
      </c>
      <c r="G704" s="8" t="s">
        <v>18</v>
      </c>
      <c r="I704" s="6" t="s">
        <v>96</v>
      </c>
      <c r="J704" s="6" t="s">
        <v>2729</v>
      </c>
    </row>
    <row r="705" spans="1:10" ht="409.5" x14ac:dyDescent="0.25">
      <c r="A705" s="6" t="str">
        <f>HYPERLINK("https://grants.gov/search-results-detail/353193","24-562")</f>
        <v>24-562</v>
      </c>
      <c r="B705" s="6" t="s">
        <v>1249</v>
      </c>
      <c r="C705" s="6" t="s">
        <v>322</v>
      </c>
      <c r="D705" s="6" t="s">
        <v>323</v>
      </c>
      <c r="E705" s="7">
        <v>45506</v>
      </c>
      <c r="F705" s="8">
        <v>2000000</v>
      </c>
      <c r="G705" s="8">
        <v>100000</v>
      </c>
      <c r="H705" s="6">
        <v>9</v>
      </c>
      <c r="I705" s="6" t="s">
        <v>1250</v>
      </c>
      <c r="J705" s="6" t="s">
        <v>1251</v>
      </c>
    </row>
    <row r="706" spans="1:10" ht="409.5" x14ac:dyDescent="0.25">
      <c r="A706" s="6" t="str">
        <f>HYPERLINK("https://grants.gov/search-results-detail/343285","22-629")</f>
        <v>22-629</v>
      </c>
      <c r="B706" s="6" t="s">
        <v>2468</v>
      </c>
      <c r="C706" s="6" t="s">
        <v>322</v>
      </c>
      <c r="D706" s="6" t="s">
        <v>323</v>
      </c>
      <c r="E706" s="7">
        <v>45509</v>
      </c>
      <c r="F706" s="8" t="s">
        <v>18</v>
      </c>
      <c r="G706" s="8" t="s">
        <v>18</v>
      </c>
      <c r="I706" s="6" t="s">
        <v>2469</v>
      </c>
      <c r="J706" s="6" t="s">
        <v>2470</v>
      </c>
    </row>
    <row r="707" spans="1:10" ht="409.5" x14ac:dyDescent="0.25">
      <c r="A707" s="6" t="str">
        <f>HYPERLINK("https://grants.gov/search-results-detail/328573","PD-20-1260")</f>
        <v>PD-20-1260</v>
      </c>
      <c r="B707" s="6" t="s">
        <v>2737</v>
      </c>
      <c r="C707" s="6" t="s">
        <v>322</v>
      </c>
      <c r="D707" s="6" t="s">
        <v>323</v>
      </c>
      <c r="E707" s="7">
        <v>45510</v>
      </c>
      <c r="F707" s="8" t="s">
        <v>18</v>
      </c>
      <c r="G707" s="8" t="s">
        <v>18</v>
      </c>
      <c r="I707" s="6" t="s">
        <v>96</v>
      </c>
      <c r="J707" s="6" t="s">
        <v>2738</v>
      </c>
    </row>
    <row r="708" spans="1:10" ht="409.5" x14ac:dyDescent="0.25">
      <c r="A708" s="6" t="str">
        <f>HYPERLINK("https://grants.gov/search-results-detail/320753","PD-19-127Y")</f>
        <v>PD-19-127Y</v>
      </c>
      <c r="B708" s="6" t="s">
        <v>2783</v>
      </c>
      <c r="C708" s="6" t="s">
        <v>322</v>
      </c>
      <c r="D708" s="6" t="s">
        <v>323</v>
      </c>
      <c r="E708" s="7">
        <v>45511</v>
      </c>
      <c r="F708" s="8" t="s">
        <v>18</v>
      </c>
      <c r="G708" s="8">
        <v>550</v>
      </c>
      <c r="I708" s="6" t="s">
        <v>96</v>
      </c>
      <c r="J708" s="6" t="s">
        <v>2784</v>
      </c>
    </row>
    <row r="709" spans="1:10" ht="409.5" x14ac:dyDescent="0.25">
      <c r="A709" s="6" t="str">
        <f>HYPERLINK("https://grants.gov/search-results-detail/339417","22-585")</f>
        <v>22-585</v>
      </c>
      <c r="B709" s="6" t="s">
        <v>2508</v>
      </c>
      <c r="C709" s="6" t="s">
        <v>322</v>
      </c>
      <c r="D709" s="6" t="s">
        <v>323</v>
      </c>
      <c r="E709" s="7">
        <v>45513</v>
      </c>
      <c r="F709" s="8">
        <v>5000000</v>
      </c>
      <c r="G709" s="8">
        <v>100000</v>
      </c>
      <c r="H709" s="6">
        <v>33</v>
      </c>
      <c r="I709" s="6" t="s">
        <v>96</v>
      </c>
      <c r="J709" s="6" t="s">
        <v>2509</v>
      </c>
    </row>
    <row r="710" spans="1:10" ht="409.5" x14ac:dyDescent="0.25">
      <c r="A710" s="6" t="str">
        <f>HYPERLINK("https://grants.gov/search-results-detail/351715","PD-24-110Z")</f>
        <v>PD-24-110Z</v>
      </c>
      <c r="B710" s="6" t="s">
        <v>2010</v>
      </c>
      <c r="C710" s="6" t="s">
        <v>322</v>
      </c>
      <c r="D710" s="6" t="s">
        <v>323</v>
      </c>
      <c r="E710" s="7">
        <v>45517</v>
      </c>
      <c r="F710" s="8" t="s">
        <v>18</v>
      </c>
      <c r="G710" s="8" t="s">
        <v>18</v>
      </c>
      <c r="I710" s="6" t="s">
        <v>96</v>
      </c>
      <c r="J710" s="6" t="s">
        <v>2011</v>
      </c>
    </row>
    <row r="711" spans="1:10" ht="409.5" x14ac:dyDescent="0.25">
      <c r="A711" s="6" t="str">
        <f>HYPERLINK("https://grants.gov/search-results-detail/348097","23-588")</f>
        <v>23-588</v>
      </c>
      <c r="B711" s="6" t="s">
        <v>2294</v>
      </c>
      <c r="C711" s="6" t="s">
        <v>322</v>
      </c>
      <c r="D711" s="6" t="s">
        <v>323</v>
      </c>
      <c r="E711" s="7">
        <v>45517</v>
      </c>
      <c r="F711" s="8">
        <v>11500000</v>
      </c>
      <c r="G711" s="8">
        <v>7000000</v>
      </c>
      <c r="I711" s="6" t="s">
        <v>2295</v>
      </c>
      <c r="J711" s="6" t="s">
        <v>2296</v>
      </c>
    </row>
    <row r="712" spans="1:10" ht="409.5" x14ac:dyDescent="0.25">
      <c r="A712" s="6" t="str">
        <f>HYPERLINK("https://grants.gov/search-results-detail/347896","23-579")</f>
        <v>23-579</v>
      </c>
      <c r="B712" s="6" t="s">
        <v>2307</v>
      </c>
      <c r="C712" s="6" t="s">
        <v>322</v>
      </c>
      <c r="D712" s="6" t="s">
        <v>323</v>
      </c>
      <c r="E712" s="7">
        <v>45517</v>
      </c>
      <c r="F712" s="8">
        <v>500000</v>
      </c>
      <c r="G712" s="8">
        <v>400000</v>
      </c>
      <c r="H712" s="6">
        <v>10</v>
      </c>
      <c r="I712" s="6" t="s">
        <v>2308</v>
      </c>
      <c r="J712" s="6" t="s">
        <v>2309</v>
      </c>
    </row>
    <row r="713" spans="1:10" ht="409.5" x14ac:dyDescent="0.25">
      <c r="A713" s="6" t="str">
        <f>HYPERLINK("https://grants.gov/search-results-detail/352250","24-537")</f>
        <v>24-537</v>
      </c>
      <c r="B713" s="6" t="s">
        <v>1926</v>
      </c>
      <c r="C713" s="6" t="s">
        <v>322</v>
      </c>
      <c r="D713" s="6" t="s">
        <v>323</v>
      </c>
      <c r="E713" s="7">
        <v>45519</v>
      </c>
      <c r="F713" s="8" t="s">
        <v>18</v>
      </c>
      <c r="G713" s="8">
        <v>16000000</v>
      </c>
      <c r="I713" s="6" t="s">
        <v>1253</v>
      </c>
      <c r="J713" s="6" t="s">
        <v>1927</v>
      </c>
    </row>
    <row r="714" spans="1:10" ht="409.5" x14ac:dyDescent="0.25">
      <c r="A714" s="6" t="str">
        <f>HYPERLINK("https://grants.gov/search-results-detail/350561","PD-24-1699")</f>
        <v>PD-24-1699</v>
      </c>
      <c r="B714" s="6" t="s">
        <v>2159</v>
      </c>
      <c r="C714" s="6" t="s">
        <v>322</v>
      </c>
      <c r="D714" s="6" t="s">
        <v>323</v>
      </c>
      <c r="E714" s="7">
        <v>45519</v>
      </c>
      <c r="F714" s="8" t="s">
        <v>18</v>
      </c>
      <c r="G714" s="8" t="s">
        <v>18</v>
      </c>
      <c r="H714" s="6">
        <v>25</v>
      </c>
      <c r="I714" s="6" t="s">
        <v>96</v>
      </c>
      <c r="J714" s="6" t="s">
        <v>2160</v>
      </c>
    </row>
    <row r="715" spans="1:10" ht="409.5" x14ac:dyDescent="0.25">
      <c r="A715" s="6" t="str">
        <f>HYPERLINK("https://grants.gov/search-results-detail/347705","23-581")</f>
        <v>23-581</v>
      </c>
      <c r="B715" s="6" t="s">
        <v>2322</v>
      </c>
      <c r="C715" s="6" t="s">
        <v>322</v>
      </c>
      <c r="D715" s="6" t="s">
        <v>323</v>
      </c>
      <c r="E715" s="7">
        <v>45519</v>
      </c>
      <c r="F715" s="8" t="s">
        <v>18</v>
      </c>
      <c r="G715" s="8" t="s">
        <v>18</v>
      </c>
      <c r="H715" s="6">
        <v>40</v>
      </c>
      <c r="I715" s="6" t="s">
        <v>96</v>
      </c>
      <c r="J715" s="6" t="s">
        <v>2323</v>
      </c>
    </row>
    <row r="716" spans="1:10" ht="409.5" x14ac:dyDescent="0.25">
      <c r="A716" s="6" t="str">
        <f>HYPERLINK("https://grants.gov/search-results-detail/344004","23-502")</f>
        <v>23-502</v>
      </c>
      <c r="B716" s="6" t="s">
        <v>2447</v>
      </c>
      <c r="C716" s="6" t="s">
        <v>322</v>
      </c>
      <c r="D716" s="6" t="s">
        <v>323</v>
      </c>
      <c r="E716" s="7">
        <v>45519</v>
      </c>
      <c r="F716" s="8" t="s">
        <v>18</v>
      </c>
      <c r="G716" s="8" t="s">
        <v>18</v>
      </c>
      <c r="H716" s="6">
        <v>50</v>
      </c>
      <c r="I716" s="6" t="s">
        <v>2448</v>
      </c>
      <c r="J716" s="6" t="s">
        <v>2449</v>
      </c>
    </row>
    <row r="717" spans="1:10" ht="405" x14ac:dyDescent="0.25">
      <c r="A717" s="6" t="str">
        <f>HYPERLINK("https://grants.gov/search-results-detail/320087","PD-19-118Y")</f>
        <v>PD-19-118Y</v>
      </c>
      <c r="B717" s="6" t="s">
        <v>2789</v>
      </c>
      <c r="C717" s="6" t="s">
        <v>322</v>
      </c>
      <c r="D717" s="6" t="s">
        <v>323</v>
      </c>
      <c r="E717" s="7">
        <v>45519</v>
      </c>
      <c r="F717" s="8" t="s">
        <v>18</v>
      </c>
      <c r="G717" s="8" t="s">
        <v>18</v>
      </c>
      <c r="I717" s="6" t="s">
        <v>96</v>
      </c>
      <c r="J717" s="6" t="s">
        <v>2790</v>
      </c>
    </row>
    <row r="718" spans="1:10" ht="390" x14ac:dyDescent="0.25">
      <c r="A718" s="6" t="str">
        <f>HYPERLINK("https://grants.gov/search-results-detail/320098","PD-19-120Y")</f>
        <v>PD-19-120Y</v>
      </c>
      <c r="B718" s="6" t="s">
        <v>2791</v>
      </c>
      <c r="C718" s="6" t="s">
        <v>322</v>
      </c>
      <c r="D718" s="6" t="s">
        <v>323</v>
      </c>
      <c r="E718" s="7">
        <v>45519</v>
      </c>
      <c r="F718" s="8" t="s">
        <v>18</v>
      </c>
      <c r="G718" s="8" t="s">
        <v>18</v>
      </c>
      <c r="I718" s="6" t="s">
        <v>96</v>
      </c>
      <c r="J718" s="6" t="s">
        <v>2792</v>
      </c>
    </row>
    <row r="719" spans="1:10" ht="150" x14ac:dyDescent="0.25">
      <c r="A719" s="6" t="str">
        <f>HYPERLINK("https://grants.gov/search-results-detail/275148","PD-98-1610")</f>
        <v>PD-98-1610</v>
      </c>
      <c r="B719" s="6" t="s">
        <v>2938</v>
      </c>
      <c r="C719" s="6" t="s">
        <v>322</v>
      </c>
      <c r="D719" s="6" t="s">
        <v>323</v>
      </c>
      <c r="E719" s="7">
        <v>45519</v>
      </c>
      <c r="F719" s="8" t="s">
        <v>18</v>
      </c>
      <c r="G719" s="8">
        <v>250000</v>
      </c>
      <c r="I719" s="6" t="s">
        <v>96</v>
      </c>
      <c r="J719" s="6" t="s">
        <v>2939</v>
      </c>
    </row>
    <row r="720" spans="1:10" ht="165" x14ac:dyDescent="0.25">
      <c r="A720" s="6" t="str">
        <f>HYPERLINK("https://grants.gov/search-results-detail/275150","PD-98-1670")</f>
        <v>PD-98-1670</v>
      </c>
      <c r="B720" s="6" t="s">
        <v>2940</v>
      </c>
      <c r="C720" s="6" t="s">
        <v>322</v>
      </c>
      <c r="D720" s="6" t="s">
        <v>323</v>
      </c>
      <c r="E720" s="7">
        <v>45519</v>
      </c>
      <c r="F720" s="8">
        <v>2000000</v>
      </c>
      <c r="G720" s="8">
        <v>200000</v>
      </c>
      <c r="H720" s="6">
        <v>20</v>
      </c>
      <c r="I720" s="6" t="s">
        <v>96</v>
      </c>
      <c r="J720" s="6" t="s">
        <v>2941</v>
      </c>
    </row>
    <row r="721" spans="1:10" ht="409.5" x14ac:dyDescent="0.25">
      <c r="A721" s="6" t="str">
        <f>HYPERLINK("https://grants.gov/search-results-detail/353475","PD-24-7414")</f>
        <v>PD-24-7414</v>
      </c>
      <c r="B721" s="6" t="s">
        <v>738</v>
      </c>
      <c r="C721" s="6" t="s">
        <v>322</v>
      </c>
      <c r="D721" s="6" t="s">
        <v>323</v>
      </c>
      <c r="F721" s="8">
        <v>600000</v>
      </c>
      <c r="G721" s="8">
        <v>50000</v>
      </c>
      <c r="H721" s="6">
        <v>10</v>
      </c>
      <c r="I721" s="6" t="s">
        <v>96</v>
      </c>
      <c r="J721" s="6" t="s">
        <v>739</v>
      </c>
    </row>
    <row r="722" spans="1:10" ht="409.5" x14ac:dyDescent="0.25">
      <c r="A722" s="6" t="str">
        <f>HYPERLINK("https://grants.gov/search-results-detail/352499","24-546")</f>
        <v>24-546</v>
      </c>
      <c r="B722" s="6" t="s">
        <v>1822</v>
      </c>
      <c r="C722" s="6" t="s">
        <v>322</v>
      </c>
      <c r="D722" s="6" t="s">
        <v>323</v>
      </c>
      <c r="F722" s="8" t="s">
        <v>18</v>
      </c>
      <c r="G722" s="8" t="s">
        <v>18</v>
      </c>
      <c r="I722" s="6" t="s">
        <v>1253</v>
      </c>
      <c r="J722" s="6" t="s">
        <v>1823</v>
      </c>
    </row>
    <row r="723" spans="1:10" ht="409.5" x14ac:dyDescent="0.25">
      <c r="A723" s="6" t="str">
        <f>HYPERLINK("https://grants.gov/search-results-detail/352500","24-547")</f>
        <v>24-547</v>
      </c>
      <c r="B723" s="6" t="s">
        <v>1824</v>
      </c>
      <c r="C723" s="6" t="s">
        <v>322</v>
      </c>
      <c r="D723" s="6" t="s">
        <v>323</v>
      </c>
      <c r="F723" s="8" t="s">
        <v>18</v>
      </c>
      <c r="G723" s="8" t="s">
        <v>18</v>
      </c>
      <c r="H723" s="6">
        <v>20</v>
      </c>
      <c r="I723" s="6" t="s">
        <v>1253</v>
      </c>
      <c r="J723" s="6" t="s">
        <v>1825</v>
      </c>
    </row>
    <row r="724" spans="1:10" ht="409.5" x14ac:dyDescent="0.25">
      <c r="A724" s="6" t="str">
        <f>HYPERLINK("https://grants.gov/search-results-detail/352454","24-543")</f>
        <v>24-543</v>
      </c>
      <c r="B724" s="6" t="s">
        <v>1842</v>
      </c>
      <c r="C724" s="6" t="s">
        <v>322</v>
      </c>
      <c r="D724" s="6" t="s">
        <v>323</v>
      </c>
      <c r="F724" s="8">
        <v>5000000</v>
      </c>
      <c r="G724" s="8">
        <v>5000</v>
      </c>
      <c r="I724" s="6" t="s">
        <v>1253</v>
      </c>
      <c r="J724" s="6" t="s">
        <v>1843</v>
      </c>
    </row>
    <row r="725" spans="1:10" ht="409.5" x14ac:dyDescent="0.25">
      <c r="A725" s="6" t="str">
        <f>HYPERLINK("https://grants.gov/search-results-detail/352339","24-540")</f>
        <v>24-540</v>
      </c>
      <c r="B725" s="6" t="s">
        <v>1887</v>
      </c>
      <c r="C725" s="6" t="s">
        <v>322</v>
      </c>
      <c r="D725" s="6" t="s">
        <v>323</v>
      </c>
      <c r="F725" s="8">
        <v>200000</v>
      </c>
      <c r="G725" s="8" t="s">
        <v>18</v>
      </c>
      <c r="H725" s="6">
        <v>20</v>
      </c>
      <c r="I725" s="6" t="s">
        <v>1888</v>
      </c>
      <c r="J725" s="6" t="s">
        <v>1889</v>
      </c>
    </row>
    <row r="726" spans="1:10" ht="409.5" x14ac:dyDescent="0.25">
      <c r="A726" s="6" t="str">
        <f>HYPERLINK("https://grants.gov/search-results-detail/352338","24-539")</f>
        <v>24-539</v>
      </c>
      <c r="B726" s="6" t="s">
        <v>1890</v>
      </c>
      <c r="C726" s="6" t="s">
        <v>322</v>
      </c>
      <c r="D726" s="6" t="s">
        <v>323</v>
      </c>
      <c r="F726" s="8" t="s">
        <v>18</v>
      </c>
      <c r="G726" s="8" t="s">
        <v>18</v>
      </c>
      <c r="I726" s="6" t="s">
        <v>1253</v>
      </c>
      <c r="J726" s="6" t="s">
        <v>1891</v>
      </c>
    </row>
    <row r="727" spans="1:10" ht="409.5" x14ac:dyDescent="0.25">
      <c r="A727" s="6" t="str">
        <f>HYPERLINK("https://grants.gov/search-results-detail/351273","PD-19-058Y")</f>
        <v>PD-19-058Y</v>
      </c>
      <c r="B727" s="6" t="s">
        <v>2078</v>
      </c>
      <c r="C727" s="6" t="s">
        <v>322</v>
      </c>
      <c r="D727" s="6" t="s">
        <v>323</v>
      </c>
      <c r="F727" s="8" t="s">
        <v>18</v>
      </c>
      <c r="G727" s="8" t="s">
        <v>18</v>
      </c>
      <c r="I727" s="6" t="s">
        <v>96</v>
      </c>
      <c r="J727" s="6" t="s">
        <v>2079</v>
      </c>
    </row>
    <row r="728" spans="1:10" ht="409.5" x14ac:dyDescent="0.25">
      <c r="A728" s="6" t="str">
        <f>HYPERLINK("https://grants.gov/search-results-detail/350803","24-504")</f>
        <v>24-504</v>
      </c>
      <c r="B728" s="6" t="s">
        <v>2146</v>
      </c>
      <c r="C728" s="6" t="s">
        <v>322</v>
      </c>
      <c r="D728" s="6" t="s">
        <v>323</v>
      </c>
      <c r="F728" s="8">
        <v>3000000</v>
      </c>
      <c r="G728" s="8">
        <v>50000</v>
      </c>
      <c r="I728" s="6" t="s">
        <v>2147</v>
      </c>
      <c r="J728" s="6" t="s">
        <v>2148</v>
      </c>
    </row>
    <row r="729" spans="1:10" ht="409.5" x14ac:dyDescent="0.25">
      <c r="A729" s="6" t="str">
        <f>HYPERLINK("https://grants.gov/search-results-detail/350469","PD-23-277Y")</f>
        <v>PD-23-277Y</v>
      </c>
      <c r="B729" s="6" t="s">
        <v>2166</v>
      </c>
      <c r="C729" s="6" t="s">
        <v>322</v>
      </c>
      <c r="D729" s="6" t="s">
        <v>323</v>
      </c>
      <c r="F729" s="8">
        <v>2000000</v>
      </c>
      <c r="G729" s="8">
        <v>400000</v>
      </c>
      <c r="H729" s="6">
        <v>5</v>
      </c>
      <c r="I729" s="6" t="s">
        <v>96</v>
      </c>
      <c r="J729" s="6" t="s">
        <v>2167</v>
      </c>
    </row>
    <row r="730" spans="1:10" ht="409.5" x14ac:dyDescent="0.25">
      <c r="A730" s="6" t="str">
        <f>HYPERLINK("https://grants.gov/search-results-detail/350369","23-628")</f>
        <v>23-628</v>
      </c>
      <c r="B730" s="6" t="s">
        <v>2171</v>
      </c>
      <c r="C730" s="6" t="s">
        <v>322</v>
      </c>
      <c r="D730" s="6" t="s">
        <v>323</v>
      </c>
      <c r="F730" s="8" t="s">
        <v>18</v>
      </c>
      <c r="G730" s="8">
        <v>300000</v>
      </c>
      <c r="H730" s="6">
        <v>25</v>
      </c>
      <c r="I730" s="6" t="s">
        <v>2172</v>
      </c>
      <c r="J730" s="6" t="s">
        <v>2173</v>
      </c>
    </row>
    <row r="731" spans="1:10" ht="409.5" x14ac:dyDescent="0.25">
      <c r="A731" s="6" t="str">
        <f>HYPERLINK("https://grants.gov/search-results-detail/350230","PD-24-1340")</f>
        <v>PD-24-1340</v>
      </c>
      <c r="B731" s="6" t="s">
        <v>2188</v>
      </c>
      <c r="C731" s="6" t="s">
        <v>322</v>
      </c>
      <c r="D731" s="6" t="s">
        <v>323</v>
      </c>
      <c r="F731" s="8" t="s">
        <v>18</v>
      </c>
      <c r="G731" s="8" t="s">
        <v>18</v>
      </c>
      <c r="I731" s="6" t="s">
        <v>96</v>
      </c>
      <c r="J731" s="6" t="s">
        <v>2189</v>
      </c>
    </row>
    <row r="732" spans="1:10" ht="409.5" x14ac:dyDescent="0.25">
      <c r="A732" s="6" t="str">
        <f>HYPERLINK("https://grants.gov/search-results-detail/349655","23-612")</f>
        <v>23-612</v>
      </c>
      <c r="B732" s="6" t="s">
        <v>2218</v>
      </c>
      <c r="C732" s="6" t="s">
        <v>322</v>
      </c>
      <c r="D732" s="6" t="s">
        <v>323</v>
      </c>
      <c r="F732" s="8" t="s">
        <v>18</v>
      </c>
      <c r="G732" s="8" t="s">
        <v>18</v>
      </c>
      <c r="I732" s="6" t="s">
        <v>2219</v>
      </c>
      <c r="J732" s="6" t="s">
        <v>2220</v>
      </c>
    </row>
    <row r="733" spans="1:10" ht="409.5" x14ac:dyDescent="0.25">
      <c r="A733" s="6" t="str">
        <f>HYPERLINK("https://grants.gov/search-results-detail/349654","23-611")</f>
        <v>23-611</v>
      </c>
      <c r="B733" s="6" t="s">
        <v>2221</v>
      </c>
      <c r="C733" s="6" t="s">
        <v>322</v>
      </c>
      <c r="D733" s="6" t="s">
        <v>323</v>
      </c>
      <c r="F733" s="8" t="s">
        <v>18</v>
      </c>
      <c r="G733" s="8" t="s">
        <v>18</v>
      </c>
      <c r="I733" s="6" t="s">
        <v>2219</v>
      </c>
      <c r="J733" s="6" t="s">
        <v>2222</v>
      </c>
    </row>
    <row r="734" spans="1:10" ht="409.5" x14ac:dyDescent="0.25">
      <c r="A734" s="6" t="str">
        <f>HYPERLINK("https://grants.gov/search-results-detail/349342","PD-23-8084")</f>
        <v>PD-23-8084</v>
      </c>
      <c r="B734" s="6" t="s">
        <v>2235</v>
      </c>
      <c r="C734" s="6" t="s">
        <v>322</v>
      </c>
      <c r="D734" s="6" t="s">
        <v>323</v>
      </c>
      <c r="F734" s="8" t="s">
        <v>18</v>
      </c>
      <c r="G734" s="8" t="s">
        <v>18</v>
      </c>
      <c r="I734" s="6" t="s">
        <v>96</v>
      </c>
      <c r="J734" s="6" t="s">
        <v>2236</v>
      </c>
    </row>
    <row r="735" spans="1:10" ht="409.5" x14ac:dyDescent="0.25">
      <c r="A735" s="6" t="str">
        <f>HYPERLINK("https://grants.gov/search-results-detail/349109","23-602")</f>
        <v>23-602</v>
      </c>
      <c r="B735" s="6" t="s">
        <v>2242</v>
      </c>
      <c r="C735" s="6" t="s">
        <v>322</v>
      </c>
      <c r="D735" s="6" t="s">
        <v>323</v>
      </c>
      <c r="F735" s="8" t="s">
        <v>18</v>
      </c>
      <c r="G735" s="8" t="s">
        <v>18</v>
      </c>
      <c r="H735" s="6">
        <v>15</v>
      </c>
      <c r="I735" s="6" t="s">
        <v>96</v>
      </c>
      <c r="J735" s="6" t="s">
        <v>2243</v>
      </c>
    </row>
    <row r="736" spans="1:10" ht="409.5" x14ac:dyDescent="0.25">
      <c r="A736" s="6" t="str">
        <f>HYPERLINK("https://grants.gov/search-results-detail/348932","PD-23-1401")</f>
        <v>PD-23-1401</v>
      </c>
      <c r="B736" s="6" t="s">
        <v>2247</v>
      </c>
      <c r="C736" s="6" t="s">
        <v>322</v>
      </c>
      <c r="D736" s="6" t="s">
        <v>323</v>
      </c>
      <c r="F736" s="8" t="s">
        <v>18</v>
      </c>
      <c r="G736" s="8" t="s">
        <v>18</v>
      </c>
      <c r="I736" s="6" t="s">
        <v>96</v>
      </c>
      <c r="J736" s="6" t="s">
        <v>2248</v>
      </c>
    </row>
    <row r="737" spans="1:10" ht="409.5" x14ac:dyDescent="0.25">
      <c r="A737" s="6" t="str">
        <f>HYPERLINK("https://grants.gov/search-results-detail/348793","PD-23-1403")</f>
        <v>PD-23-1403</v>
      </c>
      <c r="B737" s="6" t="s">
        <v>2264</v>
      </c>
      <c r="C737" s="6" t="s">
        <v>322</v>
      </c>
      <c r="D737" s="6" t="s">
        <v>323</v>
      </c>
      <c r="F737" s="8" t="s">
        <v>18</v>
      </c>
      <c r="G737" s="8" t="s">
        <v>18</v>
      </c>
      <c r="I737" s="6" t="s">
        <v>96</v>
      </c>
      <c r="J737" s="6" t="s">
        <v>2265</v>
      </c>
    </row>
    <row r="738" spans="1:10" ht="409.5" x14ac:dyDescent="0.25">
      <c r="A738" s="6" t="str">
        <f>HYPERLINK("https://grants.gov/search-results-detail/348795","PD-23-5342")</f>
        <v>PD-23-5342</v>
      </c>
      <c r="B738" s="6" t="s">
        <v>2266</v>
      </c>
      <c r="C738" s="6" t="s">
        <v>322</v>
      </c>
      <c r="D738" s="6" t="s">
        <v>323</v>
      </c>
      <c r="F738" s="8" t="s">
        <v>18</v>
      </c>
      <c r="G738" s="8" t="s">
        <v>18</v>
      </c>
      <c r="I738" s="6" t="s">
        <v>96</v>
      </c>
      <c r="J738" s="6" t="s">
        <v>2267</v>
      </c>
    </row>
    <row r="739" spans="1:10" ht="409.5" x14ac:dyDescent="0.25">
      <c r="A739" s="6" t="str">
        <f>HYPERLINK("https://grants.gov/search-results-detail/348796","PD-23-5345")</f>
        <v>PD-23-5345</v>
      </c>
      <c r="B739" s="6" t="s">
        <v>2268</v>
      </c>
      <c r="C739" s="6" t="s">
        <v>322</v>
      </c>
      <c r="D739" s="6" t="s">
        <v>323</v>
      </c>
      <c r="F739" s="8" t="s">
        <v>18</v>
      </c>
      <c r="G739" s="8" t="s">
        <v>18</v>
      </c>
      <c r="I739" s="6" t="s">
        <v>96</v>
      </c>
      <c r="J739" s="6" t="s">
        <v>2269</v>
      </c>
    </row>
    <row r="740" spans="1:10" ht="409.5" x14ac:dyDescent="0.25">
      <c r="A740" s="6" t="str">
        <f>HYPERLINK("https://grants.gov/search-results-detail/348794","PD-23-1491")</f>
        <v>PD-23-1491</v>
      </c>
      <c r="B740" s="6" t="s">
        <v>2270</v>
      </c>
      <c r="C740" s="6" t="s">
        <v>322</v>
      </c>
      <c r="D740" s="6" t="s">
        <v>323</v>
      </c>
      <c r="F740" s="8" t="s">
        <v>18</v>
      </c>
      <c r="G740" s="8" t="s">
        <v>18</v>
      </c>
      <c r="I740" s="6" t="s">
        <v>96</v>
      </c>
      <c r="J740" s="6" t="s">
        <v>2271</v>
      </c>
    </row>
    <row r="741" spans="1:10" ht="409.5" x14ac:dyDescent="0.25">
      <c r="A741" s="6" t="str">
        <f>HYPERLINK("https://grants.gov/search-results-detail/348258","PD-18-7607")</f>
        <v>PD-18-7607</v>
      </c>
      <c r="B741" s="6" t="s">
        <v>2286</v>
      </c>
      <c r="C741" s="6" t="s">
        <v>322</v>
      </c>
      <c r="D741" s="6" t="s">
        <v>323</v>
      </c>
      <c r="F741" s="8" t="s">
        <v>18</v>
      </c>
      <c r="G741" s="8" t="s">
        <v>18</v>
      </c>
      <c r="I741" s="6" t="s">
        <v>96</v>
      </c>
      <c r="J741" s="6" t="s">
        <v>2287</v>
      </c>
    </row>
    <row r="742" spans="1:10" ht="409.5" x14ac:dyDescent="0.25">
      <c r="A742" s="6" t="str">
        <f>HYPERLINK("https://grants.gov/search-results-detail/347679","23-580")</f>
        <v>23-580</v>
      </c>
      <c r="B742" s="6" t="s">
        <v>2324</v>
      </c>
      <c r="C742" s="6" t="s">
        <v>322</v>
      </c>
      <c r="D742" s="6" t="s">
        <v>323</v>
      </c>
      <c r="F742" s="8">
        <v>1200000</v>
      </c>
      <c r="G742" s="8">
        <v>25000</v>
      </c>
      <c r="H742" s="6">
        <v>60</v>
      </c>
      <c r="I742" s="6" t="s">
        <v>1253</v>
      </c>
      <c r="J742" s="6" t="s">
        <v>2325</v>
      </c>
    </row>
    <row r="743" spans="1:10" ht="409.5" x14ac:dyDescent="0.25">
      <c r="A743" s="6" t="str">
        <f>HYPERLINK("https://grants.gov/search-results-detail/347680","23-578")</f>
        <v>23-578</v>
      </c>
      <c r="B743" s="6" t="s">
        <v>2326</v>
      </c>
      <c r="C743" s="6" t="s">
        <v>322</v>
      </c>
      <c r="D743" s="6" t="s">
        <v>323</v>
      </c>
      <c r="F743" s="8">
        <v>800000</v>
      </c>
      <c r="G743" s="8">
        <v>300000</v>
      </c>
      <c r="H743" s="6">
        <v>40</v>
      </c>
      <c r="I743" s="6" t="s">
        <v>2327</v>
      </c>
      <c r="J743" s="6" t="s">
        <v>2328</v>
      </c>
    </row>
    <row r="744" spans="1:10" ht="409.5" x14ac:dyDescent="0.25">
      <c r="A744" s="6" t="str">
        <f>HYPERLINK("https://grants.gov/search-results-detail/347509","PD-23-1407")</f>
        <v>PD-23-1407</v>
      </c>
      <c r="B744" s="6" t="s">
        <v>2332</v>
      </c>
      <c r="C744" s="6" t="s">
        <v>322</v>
      </c>
      <c r="D744" s="6" t="s">
        <v>323</v>
      </c>
      <c r="F744" s="8" t="s">
        <v>18</v>
      </c>
      <c r="G744" s="8" t="s">
        <v>18</v>
      </c>
      <c r="I744" s="6" t="s">
        <v>96</v>
      </c>
      <c r="J744" s="6" t="s">
        <v>2333</v>
      </c>
    </row>
    <row r="745" spans="1:10" ht="409.5" x14ac:dyDescent="0.25">
      <c r="A745" s="6" t="str">
        <f>HYPERLINK("https://grants.gov/search-results-detail/347324","PD-23-1406")</f>
        <v>PD-23-1406</v>
      </c>
      <c r="B745" s="6" t="s">
        <v>2336</v>
      </c>
      <c r="C745" s="6" t="s">
        <v>322</v>
      </c>
      <c r="D745" s="6" t="s">
        <v>323</v>
      </c>
      <c r="F745" s="8" t="s">
        <v>18</v>
      </c>
      <c r="G745" s="8" t="s">
        <v>18</v>
      </c>
      <c r="I745" s="6" t="s">
        <v>96</v>
      </c>
      <c r="J745" s="6" t="s">
        <v>2337</v>
      </c>
    </row>
    <row r="746" spans="1:10" ht="409.5" x14ac:dyDescent="0.25">
      <c r="A746" s="6" t="str">
        <f>HYPERLINK("https://grants.gov/search-results-detail/347325","PD-23-1415")</f>
        <v>PD-23-1415</v>
      </c>
      <c r="B746" s="6" t="s">
        <v>2338</v>
      </c>
      <c r="C746" s="6" t="s">
        <v>322</v>
      </c>
      <c r="D746" s="6" t="s">
        <v>323</v>
      </c>
      <c r="F746" s="8" t="s">
        <v>18</v>
      </c>
      <c r="G746" s="8" t="s">
        <v>18</v>
      </c>
      <c r="I746" s="6" t="s">
        <v>96</v>
      </c>
      <c r="J746" s="6" t="s">
        <v>2339</v>
      </c>
    </row>
    <row r="747" spans="1:10" ht="409.5" x14ac:dyDescent="0.25">
      <c r="A747" s="6" t="str">
        <f>HYPERLINK("https://grants.gov/search-results-detail/347326","PD-23-1417")</f>
        <v>PD-23-1417</v>
      </c>
      <c r="B747" s="6" t="s">
        <v>2340</v>
      </c>
      <c r="C747" s="6" t="s">
        <v>322</v>
      </c>
      <c r="D747" s="6" t="s">
        <v>323</v>
      </c>
      <c r="F747" s="8" t="s">
        <v>18</v>
      </c>
      <c r="G747" s="8" t="s">
        <v>18</v>
      </c>
      <c r="H747" s="6">
        <v>113</v>
      </c>
      <c r="I747" s="6" t="s">
        <v>96</v>
      </c>
      <c r="J747" s="6" t="s">
        <v>2341</v>
      </c>
    </row>
    <row r="748" spans="1:10" ht="409.5" x14ac:dyDescent="0.25">
      <c r="A748" s="6" t="str">
        <f>HYPERLINK("https://grants.gov/search-results-detail/347329","PD-23-7644")</f>
        <v>PD-23-7644</v>
      </c>
      <c r="B748" s="6" t="s">
        <v>2342</v>
      </c>
      <c r="C748" s="6" t="s">
        <v>322</v>
      </c>
      <c r="D748" s="6" t="s">
        <v>323</v>
      </c>
      <c r="F748" s="8" t="s">
        <v>18</v>
      </c>
      <c r="G748" s="8" t="s">
        <v>18</v>
      </c>
      <c r="I748" s="6" t="s">
        <v>96</v>
      </c>
      <c r="J748" s="6" t="s">
        <v>2343</v>
      </c>
    </row>
    <row r="749" spans="1:10" ht="409.5" x14ac:dyDescent="0.25">
      <c r="A749" s="6" t="str">
        <f>HYPERLINK("https://grants.gov/search-results-detail/347328","PD-23-7643")</f>
        <v>PD-23-7643</v>
      </c>
      <c r="B749" s="6" t="s">
        <v>2344</v>
      </c>
      <c r="C749" s="6" t="s">
        <v>322</v>
      </c>
      <c r="D749" s="6" t="s">
        <v>323</v>
      </c>
      <c r="F749" s="8" t="s">
        <v>18</v>
      </c>
      <c r="G749" s="8" t="s">
        <v>18</v>
      </c>
      <c r="H749" s="6">
        <v>103</v>
      </c>
      <c r="I749" s="6" t="s">
        <v>96</v>
      </c>
      <c r="J749" s="6" t="s">
        <v>2345</v>
      </c>
    </row>
    <row r="750" spans="1:10" ht="409.5" x14ac:dyDescent="0.25">
      <c r="A750" s="6" t="str">
        <f>HYPERLINK("https://grants.gov/search-results-detail/347327","PD-23-7236")</f>
        <v>PD-23-7236</v>
      </c>
      <c r="B750" s="6" t="s">
        <v>2346</v>
      </c>
      <c r="C750" s="6" t="s">
        <v>322</v>
      </c>
      <c r="D750" s="6" t="s">
        <v>323</v>
      </c>
      <c r="F750" s="8" t="s">
        <v>18</v>
      </c>
      <c r="G750" s="8" t="s">
        <v>18</v>
      </c>
      <c r="I750" s="6" t="s">
        <v>96</v>
      </c>
      <c r="J750" s="6" t="s">
        <v>2347</v>
      </c>
    </row>
    <row r="751" spans="1:10" ht="409.5" x14ac:dyDescent="0.25">
      <c r="A751" s="6" t="str">
        <f>HYPERLINK("https://grants.gov/search-results-detail/347323","PD-23-1179")</f>
        <v>PD-23-1179</v>
      </c>
      <c r="B751" s="6" t="s">
        <v>2348</v>
      </c>
      <c r="C751" s="6" t="s">
        <v>322</v>
      </c>
      <c r="D751" s="6" t="s">
        <v>323</v>
      </c>
      <c r="F751" s="8" t="s">
        <v>18</v>
      </c>
      <c r="G751" s="8" t="s">
        <v>18</v>
      </c>
      <c r="H751" s="6">
        <v>100</v>
      </c>
      <c r="I751" s="6" t="s">
        <v>96</v>
      </c>
      <c r="J751" s="6" t="s">
        <v>2349</v>
      </c>
    </row>
    <row r="752" spans="1:10" ht="409.5" x14ac:dyDescent="0.25">
      <c r="A752" s="6" t="str">
        <f>HYPERLINK("https://grants.gov/search-results-detail/347020","PD-23-1443")</f>
        <v>PD-23-1443</v>
      </c>
      <c r="B752" s="6" t="s">
        <v>2356</v>
      </c>
      <c r="C752" s="6" t="s">
        <v>322</v>
      </c>
      <c r="D752" s="6" t="s">
        <v>323</v>
      </c>
      <c r="F752" s="8" t="s">
        <v>18</v>
      </c>
      <c r="G752" s="8" t="s">
        <v>18</v>
      </c>
      <c r="I752" s="6" t="s">
        <v>96</v>
      </c>
      <c r="J752" s="6" t="s">
        <v>2357</v>
      </c>
    </row>
    <row r="753" spans="1:10" ht="409.5" x14ac:dyDescent="0.25">
      <c r="A753" s="6" t="str">
        <f>HYPERLINK("https://grants.gov/search-results-detail/346204","PD-18-7564")</f>
        <v>PD-18-7564</v>
      </c>
      <c r="B753" s="6" t="s">
        <v>2393</v>
      </c>
      <c r="C753" s="6" t="s">
        <v>322</v>
      </c>
      <c r="D753" s="6" t="s">
        <v>323</v>
      </c>
      <c r="F753" s="8" t="s">
        <v>18</v>
      </c>
      <c r="G753" s="8" t="s">
        <v>18</v>
      </c>
      <c r="I753" s="6" t="s">
        <v>96</v>
      </c>
      <c r="J753" s="6" t="s">
        <v>2394</v>
      </c>
    </row>
    <row r="754" spans="1:10" ht="409.5" x14ac:dyDescent="0.25">
      <c r="A754" s="6" t="str">
        <f>HYPERLINK("https://grants.gov/search-results-detail/346203","PD-23-221Y")</f>
        <v>PD-23-221Y</v>
      </c>
      <c r="B754" s="6" t="s">
        <v>2395</v>
      </c>
      <c r="C754" s="6" t="s">
        <v>322</v>
      </c>
      <c r="D754" s="6" t="s">
        <v>323</v>
      </c>
      <c r="F754" s="8" t="s">
        <v>18</v>
      </c>
      <c r="G754" s="8" t="s">
        <v>18</v>
      </c>
      <c r="I754" s="6" t="s">
        <v>96</v>
      </c>
      <c r="J754" s="6" t="s">
        <v>2396</v>
      </c>
    </row>
    <row r="755" spans="1:10" ht="409.5" x14ac:dyDescent="0.25">
      <c r="A755" s="6" t="str">
        <f>HYPERLINK("https://grants.gov/search-results-detail/345872","PD-18-1517")</f>
        <v>PD-18-1517</v>
      </c>
      <c r="B755" s="6" t="s">
        <v>2402</v>
      </c>
      <c r="C755" s="6" t="s">
        <v>322</v>
      </c>
      <c r="D755" s="6" t="s">
        <v>323</v>
      </c>
      <c r="F755" s="8" t="s">
        <v>18</v>
      </c>
      <c r="G755" s="8" t="s">
        <v>18</v>
      </c>
      <c r="I755" s="6" t="s">
        <v>96</v>
      </c>
      <c r="J755" s="6" t="s">
        <v>2403</v>
      </c>
    </row>
    <row r="756" spans="1:10" ht="409.5" x14ac:dyDescent="0.25">
      <c r="A756" s="6" t="str">
        <f>HYPERLINK("https://grants.gov/search-results-detail/345354","PD-23-229Y")</f>
        <v>PD-23-229Y</v>
      </c>
      <c r="B756" s="6" t="s">
        <v>2407</v>
      </c>
      <c r="C756" s="6" t="s">
        <v>322</v>
      </c>
      <c r="D756" s="6" t="s">
        <v>323</v>
      </c>
      <c r="F756" s="8" t="s">
        <v>18</v>
      </c>
      <c r="G756" s="8" t="s">
        <v>18</v>
      </c>
      <c r="I756" s="6" t="s">
        <v>96</v>
      </c>
      <c r="J756" s="6" t="s">
        <v>2408</v>
      </c>
    </row>
    <row r="757" spans="1:10" ht="405" x14ac:dyDescent="0.25">
      <c r="A757" s="6" t="str">
        <f>HYPERLINK("https://grants.gov/search-results-detail/344911","23-531")</f>
        <v>23-531</v>
      </c>
      <c r="B757" s="6" t="s">
        <v>2422</v>
      </c>
      <c r="C757" s="6" t="s">
        <v>322</v>
      </c>
      <c r="D757" s="6" t="s">
        <v>323</v>
      </c>
      <c r="F757" s="8">
        <v>25000</v>
      </c>
      <c r="G757" s="8" t="s">
        <v>18</v>
      </c>
      <c r="H757" s="6">
        <v>40</v>
      </c>
      <c r="I757" s="6" t="s">
        <v>2423</v>
      </c>
      <c r="J757" s="6" t="s">
        <v>2424</v>
      </c>
    </row>
    <row r="758" spans="1:10" ht="360" x14ac:dyDescent="0.25">
      <c r="A758" s="6" t="str">
        <f>HYPERLINK("https://grants.gov/search-results-detail/344858","PD-23-1650")</f>
        <v>PD-23-1650</v>
      </c>
      <c r="B758" s="6" t="s">
        <v>2425</v>
      </c>
      <c r="C758" s="6" t="s">
        <v>322</v>
      </c>
      <c r="D758" s="6" t="s">
        <v>323</v>
      </c>
      <c r="F758" s="8" t="s">
        <v>18</v>
      </c>
      <c r="G758" s="8" t="s">
        <v>18</v>
      </c>
      <c r="I758" s="6" t="s">
        <v>96</v>
      </c>
      <c r="J758" s="6" t="s">
        <v>2426</v>
      </c>
    </row>
    <row r="759" spans="1:10" ht="409.5" x14ac:dyDescent="0.25">
      <c r="A759" s="6" t="str">
        <f>HYPERLINK("https://grants.gov/search-results-detail/344859","23-529")</f>
        <v>23-529</v>
      </c>
      <c r="B759" s="6" t="s">
        <v>2427</v>
      </c>
      <c r="C759" s="6" t="s">
        <v>322</v>
      </c>
      <c r="D759" s="6" t="s">
        <v>323</v>
      </c>
      <c r="F759" s="8" t="s">
        <v>18</v>
      </c>
      <c r="G759" s="8">
        <v>500000</v>
      </c>
      <c r="H759" s="6">
        <v>20</v>
      </c>
      <c r="I759" s="6" t="s">
        <v>1253</v>
      </c>
      <c r="J759" s="6" t="s">
        <v>2428</v>
      </c>
    </row>
    <row r="760" spans="1:10" ht="409.5" x14ac:dyDescent="0.25">
      <c r="A760" s="6" t="str">
        <f>HYPERLINK("https://grants.gov/search-results-detail/344399","PD-22-1530")</f>
        <v>PD-22-1530</v>
      </c>
      <c r="B760" s="6" t="s">
        <v>2436</v>
      </c>
      <c r="C760" s="6" t="s">
        <v>322</v>
      </c>
      <c r="D760" s="6" t="s">
        <v>323</v>
      </c>
      <c r="F760" s="8" t="s">
        <v>18</v>
      </c>
      <c r="G760" s="8" t="s">
        <v>18</v>
      </c>
      <c r="I760" s="6" t="s">
        <v>96</v>
      </c>
      <c r="J760" s="6" t="s">
        <v>2437</v>
      </c>
    </row>
    <row r="761" spans="1:10" ht="285" x14ac:dyDescent="0.25">
      <c r="A761" s="6" t="str">
        <f>HYPERLINK("https://grants.gov/search-results-detail/344183","PD-23-1524")</f>
        <v>PD-23-1524</v>
      </c>
      <c r="B761" s="6" t="s">
        <v>2438</v>
      </c>
      <c r="C761" s="6" t="s">
        <v>322</v>
      </c>
      <c r="D761" s="6" t="s">
        <v>323</v>
      </c>
      <c r="F761" s="8" t="s">
        <v>18</v>
      </c>
      <c r="G761" s="8" t="s">
        <v>18</v>
      </c>
      <c r="I761" s="6" t="s">
        <v>96</v>
      </c>
      <c r="J761" s="6" t="s">
        <v>2439</v>
      </c>
    </row>
    <row r="762" spans="1:10" ht="409.5" x14ac:dyDescent="0.25">
      <c r="A762" s="6" t="str">
        <f>HYPERLINK("https://grants.gov/search-results-detail/344095","23-508")</f>
        <v>23-508</v>
      </c>
      <c r="B762" s="6" t="s">
        <v>2442</v>
      </c>
      <c r="C762" s="6" t="s">
        <v>322</v>
      </c>
      <c r="D762" s="6" t="s">
        <v>323</v>
      </c>
      <c r="F762" s="8" t="s">
        <v>18</v>
      </c>
      <c r="G762" s="8" t="s">
        <v>18</v>
      </c>
      <c r="I762" s="6" t="s">
        <v>96</v>
      </c>
      <c r="J762" s="6" t="s">
        <v>2443</v>
      </c>
    </row>
    <row r="763" spans="1:10" ht="409.5" x14ac:dyDescent="0.25">
      <c r="A763" s="6" t="str">
        <f>HYPERLINK("https://grants.gov/search-results-detail/343875","22-639")</f>
        <v>22-639</v>
      </c>
      <c r="B763" s="6" t="s">
        <v>2456</v>
      </c>
      <c r="C763" s="6" t="s">
        <v>322</v>
      </c>
      <c r="D763" s="6" t="s">
        <v>323</v>
      </c>
      <c r="F763" s="8" t="s">
        <v>18</v>
      </c>
      <c r="G763" s="8">
        <v>202000</v>
      </c>
      <c r="I763" s="6" t="s">
        <v>2457</v>
      </c>
      <c r="J763" s="6" t="s">
        <v>2458</v>
      </c>
    </row>
    <row r="764" spans="1:10" ht="409.5" x14ac:dyDescent="0.25">
      <c r="A764" s="6" t="str">
        <f>HYPERLINK("https://grants.gov/search-results-detail/341997","PD-22-7334")</f>
        <v>PD-22-7334</v>
      </c>
      <c r="B764" s="6" t="s">
        <v>2477</v>
      </c>
      <c r="C764" s="6" t="s">
        <v>322</v>
      </c>
      <c r="D764" s="6" t="s">
        <v>323</v>
      </c>
      <c r="F764" s="8" t="s">
        <v>18</v>
      </c>
      <c r="G764" s="8" t="s">
        <v>18</v>
      </c>
      <c r="H764" s="6">
        <v>30</v>
      </c>
      <c r="I764" s="6" t="s">
        <v>96</v>
      </c>
      <c r="J764" s="6" t="s">
        <v>2478</v>
      </c>
    </row>
    <row r="765" spans="1:10" ht="409.5" x14ac:dyDescent="0.25">
      <c r="A765" s="6" t="str">
        <f>HYPERLINK("https://grants.gov/search-results-detail/341998","PD-22-8069")</f>
        <v>PD-22-8069</v>
      </c>
      <c r="B765" s="6" t="s">
        <v>2479</v>
      </c>
      <c r="C765" s="6" t="s">
        <v>322</v>
      </c>
      <c r="D765" s="6" t="s">
        <v>323</v>
      </c>
      <c r="F765" s="8">
        <v>1000000</v>
      </c>
      <c r="G765" s="8">
        <v>20000</v>
      </c>
      <c r="H765" s="6">
        <v>20</v>
      </c>
      <c r="I765" s="6" t="s">
        <v>96</v>
      </c>
      <c r="J765" s="6" t="s">
        <v>2480</v>
      </c>
    </row>
    <row r="766" spans="1:10" ht="409.5" x14ac:dyDescent="0.25">
      <c r="A766" s="6" t="str">
        <f>HYPERLINK("https://grants.gov/search-results-detail/341244","22-606")</f>
        <v>22-606</v>
      </c>
      <c r="B766" s="6" t="s">
        <v>2488</v>
      </c>
      <c r="C766" s="6" t="s">
        <v>322</v>
      </c>
      <c r="D766" s="6" t="s">
        <v>323</v>
      </c>
      <c r="F766" s="8" t="s">
        <v>18</v>
      </c>
      <c r="G766" s="8" t="s">
        <v>18</v>
      </c>
      <c r="I766" s="6" t="s">
        <v>1253</v>
      </c>
      <c r="J766" s="6" t="s">
        <v>2489</v>
      </c>
    </row>
    <row r="767" spans="1:10" ht="409.5" x14ac:dyDescent="0.25">
      <c r="A767" s="6" t="str">
        <f>HYPERLINK("https://grants.gov/search-results-detail/340338","22-597")</f>
        <v>22-597</v>
      </c>
      <c r="B767" s="6" t="s">
        <v>2495</v>
      </c>
      <c r="C767" s="6" t="s">
        <v>322</v>
      </c>
      <c r="D767" s="6" t="s">
        <v>323</v>
      </c>
      <c r="F767" s="8" t="s">
        <v>18</v>
      </c>
      <c r="G767" s="8" t="s">
        <v>18</v>
      </c>
      <c r="H767" s="6">
        <v>30</v>
      </c>
      <c r="I767" s="6" t="s">
        <v>96</v>
      </c>
      <c r="J767" s="6" t="s">
        <v>2496</v>
      </c>
    </row>
    <row r="768" spans="1:10" ht="390" x14ac:dyDescent="0.25">
      <c r="A768" s="6" t="str">
        <f>HYPERLINK("https://grants.gov/search-results-detail/339659","22-591")</f>
        <v>22-591</v>
      </c>
      <c r="B768" s="6" t="s">
        <v>2503</v>
      </c>
      <c r="C768" s="6" t="s">
        <v>322</v>
      </c>
      <c r="D768" s="6" t="s">
        <v>323</v>
      </c>
      <c r="F768" s="8">
        <v>350000</v>
      </c>
      <c r="G768" s="8">
        <v>200000</v>
      </c>
      <c r="H768" s="6">
        <v>15</v>
      </c>
      <c r="I768" s="6" t="s">
        <v>1253</v>
      </c>
      <c r="J768" s="6" t="s">
        <v>2504</v>
      </c>
    </row>
    <row r="769" spans="1:10" ht="409.5" x14ac:dyDescent="0.25">
      <c r="A769" s="6" t="str">
        <f>HYPERLINK("https://grants.gov/search-results-detail/339008","PD-22-7569")</f>
        <v>PD-22-7569</v>
      </c>
      <c r="B769" s="6" t="s">
        <v>2530</v>
      </c>
      <c r="C769" s="6" t="s">
        <v>322</v>
      </c>
      <c r="D769" s="6" t="s">
        <v>323</v>
      </c>
      <c r="F769" s="8" t="s">
        <v>18</v>
      </c>
      <c r="G769" s="8" t="s">
        <v>18</v>
      </c>
      <c r="I769" s="6" t="s">
        <v>96</v>
      </c>
      <c r="J769" s="6" t="s">
        <v>2531</v>
      </c>
    </row>
    <row r="770" spans="1:10" ht="390" x14ac:dyDescent="0.25">
      <c r="A770" s="6" t="str">
        <f>HYPERLINK("https://grants.gov/search-results-detail/338741","22-578")</f>
        <v>22-578</v>
      </c>
      <c r="B770" s="6" t="s">
        <v>2532</v>
      </c>
      <c r="C770" s="6" t="s">
        <v>322</v>
      </c>
      <c r="D770" s="6" t="s">
        <v>323</v>
      </c>
      <c r="F770" s="8" t="s">
        <v>18</v>
      </c>
      <c r="G770" s="8" t="s">
        <v>18</v>
      </c>
      <c r="H770" s="6">
        <v>30</v>
      </c>
      <c r="I770" s="6" t="s">
        <v>1253</v>
      </c>
      <c r="J770" s="6" t="s">
        <v>2533</v>
      </c>
    </row>
    <row r="771" spans="1:10" ht="409.5" x14ac:dyDescent="0.25">
      <c r="A771" s="6" t="str">
        <f>HYPERLINK("https://grants.gov/search-results-detail/338558","PD-22-1529")</f>
        <v>PD-22-1529</v>
      </c>
      <c r="B771" s="6" t="s">
        <v>2544</v>
      </c>
      <c r="C771" s="6" t="s">
        <v>322</v>
      </c>
      <c r="D771" s="6" t="s">
        <v>323</v>
      </c>
      <c r="F771" s="8" t="s">
        <v>18</v>
      </c>
      <c r="G771" s="8" t="s">
        <v>18</v>
      </c>
      <c r="I771" s="6" t="s">
        <v>96</v>
      </c>
      <c r="J771" s="6" t="s">
        <v>2545</v>
      </c>
    </row>
    <row r="772" spans="1:10" ht="409.5" x14ac:dyDescent="0.25">
      <c r="A772" s="6" t="str">
        <f>HYPERLINK("https://grants.gov/search-results-detail/338428","22-577")</f>
        <v>22-577</v>
      </c>
      <c r="B772" s="6" t="s">
        <v>2546</v>
      </c>
      <c r="C772" s="6" t="s">
        <v>322</v>
      </c>
      <c r="D772" s="6" t="s">
        <v>323</v>
      </c>
      <c r="F772" s="8">
        <v>4000000</v>
      </c>
      <c r="G772" s="8">
        <v>1</v>
      </c>
      <c r="H772" s="6">
        <v>40</v>
      </c>
      <c r="I772" s="6" t="s">
        <v>2547</v>
      </c>
      <c r="J772" s="6" t="s">
        <v>2548</v>
      </c>
    </row>
    <row r="773" spans="1:10" ht="405" x14ac:dyDescent="0.25">
      <c r="A773" s="6" t="str">
        <f>HYPERLINK("https://grants.gov/search-results-detail/337833","22-563")</f>
        <v>22-563</v>
      </c>
      <c r="B773" s="6" t="s">
        <v>2552</v>
      </c>
      <c r="C773" s="6" t="s">
        <v>322</v>
      </c>
      <c r="D773" s="6" t="s">
        <v>323</v>
      </c>
      <c r="F773" s="8">
        <v>1500000</v>
      </c>
      <c r="G773" s="8">
        <v>10000</v>
      </c>
      <c r="H773" s="6">
        <v>80</v>
      </c>
      <c r="I773" s="6" t="s">
        <v>1253</v>
      </c>
      <c r="J773" s="6" t="s">
        <v>2553</v>
      </c>
    </row>
    <row r="774" spans="1:10" ht="409.5" x14ac:dyDescent="0.25">
      <c r="A774" s="6" t="str">
        <f>HYPERLINK("https://grants.gov/search-results-detail/337555","22-560")</f>
        <v>22-560</v>
      </c>
      <c r="B774" s="6" t="s">
        <v>2554</v>
      </c>
      <c r="C774" s="6" t="s">
        <v>322</v>
      </c>
      <c r="D774" s="6" t="s">
        <v>323</v>
      </c>
      <c r="F774" s="8" t="s">
        <v>18</v>
      </c>
      <c r="G774" s="8" t="s">
        <v>18</v>
      </c>
      <c r="H774" s="6">
        <v>60</v>
      </c>
      <c r="I774" s="6" t="s">
        <v>2555</v>
      </c>
      <c r="J774" s="6" t="s">
        <v>2556</v>
      </c>
    </row>
    <row r="775" spans="1:10" ht="390" x14ac:dyDescent="0.25">
      <c r="A775" s="6" t="str">
        <f>HYPERLINK("https://grants.gov/search-results-detail/337081","22-540")</f>
        <v>22-540</v>
      </c>
      <c r="B775" s="6" t="s">
        <v>2572</v>
      </c>
      <c r="C775" s="6" t="s">
        <v>322</v>
      </c>
      <c r="D775" s="6" t="s">
        <v>323</v>
      </c>
      <c r="F775" s="8">
        <v>1000000</v>
      </c>
      <c r="G775" s="8">
        <v>30000</v>
      </c>
      <c r="H775" s="6">
        <v>30</v>
      </c>
      <c r="I775" s="6" t="s">
        <v>1253</v>
      </c>
      <c r="J775" s="6" t="s">
        <v>2573</v>
      </c>
    </row>
    <row r="776" spans="1:10" ht="409.5" x14ac:dyDescent="0.25">
      <c r="A776" s="6" t="str">
        <f>HYPERLINK("https://grants.gov/search-results-detail/336813","22-529")</f>
        <v>22-529</v>
      </c>
      <c r="B776" s="6" t="s">
        <v>2577</v>
      </c>
      <c r="C776" s="6" t="s">
        <v>322</v>
      </c>
      <c r="D776" s="6" t="s">
        <v>323</v>
      </c>
      <c r="F776" s="8" t="s">
        <v>18</v>
      </c>
      <c r="G776" s="8" t="s">
        <v>18</v>
      </c>
      <c r="H776" s="6">
        <v>45</v>
      </c>
      <c r="I776" s="6" t="s">
        <v>96</v>
      </c>
      <c r="J776" s="6" t="s">
        <v>2578</v>
      </c>
    </row>
    <row r="777" spans="1:10" ht="409.5" x14ac:dyDescent="0.25">
      <c r="A777" s="6" t="str">
        <f>HYPERLINK("https://grants.gov/search-results-detail/336616","PD-22-1525")</f>
        <v>PD-22-1525</v>
      </c>
      <c r="B777" s="6" t="s">
        <v>2582</v>
      </c>
      <c r="C777" s="6" t="s">
        <v>322</v>
      </c>
      <c r="D777" s="6" t="s">
        <v>323</v>
      </c>
      <c r="F777" s="8" t="s">
        <v>18</v>
      </c>
      <c r="G777" s="8" t="s">
        <v>18</v>
      </c>
      <c r="I777" s="6" t="s">
        <v>96</v>
      </c>
      <c r="J777" s="6" t="s">
        <v>2583</v>
      </c>
    </row>
    <row r="778" spans="1:10" ht="390" x14ac:dyDescent="0.25">
      <c r="A778" s="6" t="str">
        <f>HYPERLINK("https://grants.gov/search-results-detail/336220","22-515")</f>
        <v>22-515</v>
      </c>
      <c r="B778" s="6" t="s">
        <v>2589</v>
      </c>
      <c r="C778" s="6" t="s">
        <v>322</v>
      </c>
      <c r="D778" s="6" t="s">
        <v>323</v>
      </c>
      <c r="F778" s="8">
        <v>500000</v>
      </c>
      <c r="G778" s="8">
        <v>30000</v>
      </c>
      <c r="H778" s="6">
        <v>50</v>
      </c>
      <c r="I778" s="6" t="s">
        <v>1253</v>
      </c>
      <c r="J778" s="6" t="s">
        <v>2590</v>
      </c>
    </row>
    <row r="779" spans="1:10" ht="409.5" x14ac:dyDescent="0.25">
      <c r="A779" s="6" t="str">
        <f>HYPERLINK("https://grants.gov/search-results-detail/335724","21-621")</f>
        <v>21-621</v>
      </c>
      <c r="B779" s="6" t="s">
        <v>2614</v>
      </c>
      <c r="C779" s="6" t="s">
        <v>322</v>
      </c>
      <c r="D779" s="6" t="s">
        <v>323</v>
      </c>
      <c r="F779" s="8">
        <v>20000</v>
      </c>
      <c r="G779" s="8" t="s">
        <v>18</v>
      </c>
      <c r="H779" s="6">
        <v>15</v>
      </c>
      <c r="I779" s="6" t="s">
        <v>2615</v>
      </c>
      <c r="J779" s="6" t="s">
        <v>2616</v>
      </c>
    </row>
    <row r="780" spans="1:10" ht="409.5" x14ac:dyDescent="0.25">
      <c r="A780" s="6" t="str">
        <f>HYPERLINK("https://grants.gov/search-results-detail/332012","PD-21-7700")</f>
        <v>PD-21-7700</v>
      </c>
      <c r="B780" s="6" t="s">
        <v>2689</v>
      </c>
      <c r="C780" s="6" t="s">
        <v>322</v>
      </c>
      <c r="D780" s="6" t="s">
        <v>323</v>
      </c>
      <c r="F780" s="8" t="s">
        <v>18</v>
      </c>
      <c r="G780" s="8" t="s">
        <v>18</v>
      </c>
      <c r="I780" s="6" t="s">
        <v>96</v>
      </c>
      <c r="J780" s="6" t="s">
        <v>2690</v>
      </c>
    </row>
    <row r="781" spans="1:10" ht="409.5" x14ac:dyDescent="0.25">
      <c r="A781" s="6" t="str">
        <f>HYPERLINK("https://grants.gov/search-results-detail/330934","21-552")</f>
        <v>21-552</v>
      </c>
      <c r="B781" s="6" t="s">
        <v>2703</v>
      </c>
      <c r="C781" s="6" t="s">
        <v>322</v>
      </c>
      <c r="D781" s="6" t="s">
        <v>323</v>
      </c>
      <c r="F781" s="8" t="s">
        <v>18</v>
      </c>
      <c r="G781" s="8">
        <v>50000</v>
      </c>
      <c r="H781" s="6">
        <v>255</v>
      </c>
      <c r="I781" s="6" t="s">
        <v>2704</v>
      </c>
      <c r="J781" s="6" t="s">
        <v>2705</v>
      </c>
    </row>
    <row r="782" spans="1:10" ht="409.5" x14ac:dyDescent="0.25">
      <c r="A782" s="6" t="str">
        <f>HYPERLINK("https://grants.gov/search-results-detail/330461","21-547")</f>
        <v>21-547</v>
      </c>
      <c r="B782" s="6" t="s">
        <v>2713</v>
      </c>
      <c r="C782" s="6" t="s">
        <v>322</v>
      </c>
      <c r="D782" s="6" t="s">
        <v>323</v>
      </c>
      <c r="F782" s="8" t="s">
        <v>18</v>
      </c>
      <c r="G782" s="8" t="s">
        <v>18</v>
      </c>
      <c r="H782" s="6">
        <v>40</v>
      </c>
      <c r="I782" s="6" t="s">
        <v>1253</v>
      </c>
      <c r="J782" s="6" t="s">
        <v>2714</v>
      </c>
    </row>
    <row r="783" spans="1:10" ht="409.5" x14ac:dyDescent="0.25">
      <c r="A783" s="6" t="str">
        <f>HYPERLINK("https://grants.gov/search-results-detail/330296","21-544")</f>
        <v>21-544</v>
      </c>
      <c r="B783" s="6" t="s">
        <v>2717</v>
      </c>
      <c r="C783" s="6" t="s">
        <v>322</v>
      </c>
      <c r="D783" s="6" t="s">
        <v>323</v>
      </c>
      <c r="F783" s="8">
        <v>600000</v>
      </c>
      <c r="G783" s="8" t="s">
        <v>18</v>
      </c>
      <c r="I783" s="6" t="s">
        <v>1253</v>
      </c>
      <c r="J783" s="6" t="s">
        <v>2718</v>
      </c>
    </row>
    <row r="784" spans="1:10" ht="390" x14ac:dyDescent="0.25">
      <c r="A784" s="6" t="str">
        <f>HYPERLINK("https://grants.gov/search-results-detail/330201","21-541")</f>
        <v>21-541</v>
      </c>
      <c r="B784" s="6" t="s">
        <v>2719</v>
      </c>
      <c r="C784" s="6" t="s">
        <v>322</v>
      </c>
      <c r="D784" s="6" t="s">
        <v>323</v>
      </c>
      <c r="F784" s="8">
        <v>150000</v>
      </c>
      <c r="G784" s="8">
        <v>5000</v>
      </c>
      <c r="H784" s="6">
        <v>100</v>
      </c>
      <c r="I784" s="6" t="s">
        <v>1253</v>
      </c>
      <c r="J784" s="6" t="s">
        <v>2720</v>
      </c>
    </row>
    <row r="785" spans="1:10" ht="409.5" x14ac:dyDescent="0.25">
      <c r="A785" s="6" t="str">
        <f>HYPERLINK("https://grants.gov/search-results-detail/329329","21-508")</f>
        <v>21-508</v>
      </c>
      <c r="B785" s="6" t="s">
        <v>2730</v>
      </c>
      <c r="C785" s="6" t="s">
        <v>322</v>
      </c>
      <c r="D785" s="6" t="s">
        <v>323</v>
      </c>
      <c r="F785" s="8" t="s">
        <v>18</v>
      </c>
      <c r="G785" s="8">
        <v>750000</v>
      </c>
      <c r="H785" s="6">
        <v>8</v>
      </c>
      <c r="I785" s="6" t="s">
        <v>96</v>
      </c>
      <c r="J785" s="6" t="s">
        <v>2731</v>
      </c>
    </row>
    <row r="786" spans="1:10" ht="390" x14ac:dyDescent="0.25">
      <c r="A786" s="6" t="str">
        <f>HYPERLINK("https://grants.gov/search-results-detail/329293","21-503")</f>
        <v>21-503</v>
      </c>
      <c r="B786" s="6" t="s">
        <v>2732</v>
      </c>
      <c r="C786" s="6" t="s">
        <v>322</v>
      </c>
      <c r="D786" s="6" t="s">
        <v>323</v>
      </c>
      <c r="F786" s="8" t="s">
        <v>18</v>
      </c>
      <c r="G786" s="8" t="s">
        <v>18</v>
      </c>
      <c r="H786" s="6">
        <v>3</v>
      </c>
      <c r="I786" s="6" t="s">
        <v>1253</v>
      </c>
      <c r="J786" s="6" t="s">
        <v>2733</v>
      </c>
    </row>
    <row r="787" spans="1:10" ht="409.5" x14ac:dyDescent="0.25">
      <c r="A787" s="6" t="str">
        <f>HYPERLINK("https://grants.gov/search-results-detail/328270","20-586")</f>
        <v>20-586</v>
      </c>
      <c r="B787" s="6" t="s">
        <v>2739</v>
      </c>
      <c r="C787" s="6" t="s">
        <v>322</v>
      </c>
      <c r="D787" s="6" t="s">
        <v>323</v>
      </c>
      <c r="F787" s="8">
        <v>300000</v>
      </c>
      <c r="G787" s="8">
        <v>250000</v>
      </c>
      <c r="H787" s="6">
        <v>4</v>
      </c>
      <c r="I787" s="6" t="s">
        <v>2740</v>
      </c>
      <c r="J787" s="6" t="s">
        <v>2741</v>
      </c>
    </row>
    <row r="788" spans="1:10" ht="409.5" x14ac:dyDescent="0.25">
      <c r="A788" s="6" t="str">
        <f>HYPERLINK("https://grants.gov/search-results-detail/327047","20-576")</f>
        <v>20-576</v>
      </c>
      <c r="B788" s="6" t="s">
        <v>2748</v>
      </c>
      <c r="C788" s="6" t="s">
        <v>322</v>
      </c>
      <c r="D788" s="6" t="s">
        <v>323</v>
      </c>
      <c r="F788" s="8" t="s">
        <v>18</v>
      </c>
      <c r="G788" s="8" t="s">
        <v>18</v>
      </c>
      <c r="H788" s="6">
        <v>30</v>
      </c>
      <c r="I788" s="6" t="s">
        <v>2749</v>
      </c>
      <c r="J788" s="6" t="s">
        <v>2750</v>
      </c>
    </row>
    <row r="789" spans="1:10" ht="409.5" x14ac:dyDescent="0.25">
      <c r="A789" s="6" t="str">
        <f>HYPERLINK("https://grants.gov/search-results-detail/324369","PD-20-144Y")</f>
        <v>PD-20-144Y</v>
      </c>
      <c r="B789" s="6" t="s">
        <v>2765</v>
      </c>
      <c r="C789" s="6" t="s">
        <v>322</v>
      </c>
      <c r="D789" s="6" t="s">
        <v>323</v>
      </c>
      <c r="F789" s="8" t="s">
        <v>18</v>
      </c>
      <c r="G789" s="8" t="s">
        <v>18</v>
      </c>
      <c r="I789" s="6" t="s">
        <v>96</v>
      </c>
      <c r="J789" s="6" t="s">
        <v>2766</v>
      </c>
    </row>
    <row r="790" spans="1:10" ht="409.5" x14ac:dyDescent="0.25">
      <c r="A790" s="6" t="str">
        <f>HYPERLINK("https://grants.gov/search-results-detail/322053","20-510")</f>
        <v>20-510</v>
      </c>
      <c r="B790" s="6" t="s">
        <v>2780</v>
      </c>
      <c r="C790" s="6" t="s">
        <v>322</v>
      </c>
      <c r="D790" s="6" t="s">
        <v>323</v>
      </c>
      <c r="F790" s="8" t="s">
        <v>18</v>
      </c>
      <c r="G790" s="8" t="s">
        <v>18</v>
      </c>
      <c r="H790" s="6">
        <v>10</v>
      </c>
      <c r="I790" s="6" t="s">
        <v>2781</v>
      </c>
      <c r="J790" s="6" t="s">
        <v>2782</v>
      </c>
    </row>
    <row r="791" spans="1:10" ht="409.5" x14ac:dyDescent="0.25">
      <c r="A791" s="6" t="str">
        <f>HYPERLINK("https://grants.gov/search-results-detail/320536","PD-20-7909")</f>
        <v>PD-20-7909</v>
      </c>
      <c r="B791" s="6" t="s">
        <v>2785</v>
      </c>
      <c r="C791" s="6" t="s">
        <v>322</v>
      </c>
      <c r="D791" s="6" t="s">
        <v>323</v>
      </c>
      <c r="F791" s="8" t="s">
        <v>18</v>
      </c>
      <c r="G791" s="8" t="s">
        <v>18</v>
      </c>
      <c r="I791" s="6" t="s">
        <v>96</v>
      </c>
      <c r="J791" s="6" t="s">
        <v>2786</v>
      </c>
    </row>
    <row r="792" spans="1:10" ht="409.5" x14ac:dyDescent="0.25">
      <c r="A792" s="6" t="str">
        <f>HYPERLINK("https://grants.gov/search-results-detail/320490","PD-20-1440")</f>
        <v>PD-20-1440</v>
      </c>
      <c r="B792" s="6" t="s">
        <v>2787</v>
      </c>
      <c r="C792" s="6" t="s">
        <v>322</v>
      </c>
      <c r="D792" s="6" t="s">
        <v>323</v>
      </c>
      <c r="F792" s="8" t="s">
        <v>18</v>
      </c>
      <c r="G792" s="8" t="s">
        <v>18</v>
      </c>
      <c r="H792" s="6">
        <v>103</v>
      </c>
      <c r="I792" s="6" t="s">
        <v>96</v>
      </c>
      <c r="J792" s="6" t="s">
        <v>2788</v>
      </c>
    </row>
    <row r="793" spans="1:10" ht="330" x14ac:dyDescent="0.25">
      <c r="A793" s="6" t="str">
        <f>HYPERLINK("https://grants.gov/search-results-detail/314126","19-570")</f>
        <v>19-570</v>
      </c>
      <c r="B793" s="6" t="s">
        <v>2806</v>
      </c>
      <c r="C793" s="6" t="s">
        <v>322</v>
      </c>
      <c r="D793" s="6" t="s">
        <v>323</v>
      </c>
      <c r="F793" s="8">
        <v>35000</v>
      </c>
      <c r="G793" s="8" t="s">
        <v>18</v>
      </c>
      <c r="H793" s="6">
        <v>5</v>
      </c>
      <c r="I793" s="6" t="s">
        <v>96</v>
      </c>
      <c r="J793" s="6" t="s">
        <v>2807</v>
      </c>
    </row>
    <row r="794" spans="1:10" ht="409.5" x14ac:dyDescent="0.25">
      <c r="A794" s="6" t="str">
        <f>HYPERLINK("https://grants.gov/search-results-detail/308873","PD-18-7222")</f>
        <v>PD-18-7222</v>
      </c>
      <c r="B794" s="6" t="s">
        <v>2822</v>
      </c>
      <c r="C794" s="6" t="s">
        <v>322</v>
      </c>
      <c r="D794" s="6" t="s">
        <v>323</v>
      </c>
      <c r="F794" s="8" t="s">
        <v>18</v>
      </c>
      <c r="G794" s="8" t="s">
        <v>18</v>
      </c>
      <c r="H794" s="6">
        <v>100</v>
      </c>
      <c r="I794" s="6" t="s">
        <v>96</v>
      </c>
      <c r="J794" s="6" t="s">
        <v>2823</v>
      </c>
    </row>
    <row r="795" spans="1:10" ht="409.5" x14ac:dyDescent="0.25">
      <c r="A795" s="6" t="str">
        <f>HYPERLINK("https://grants.gov/search-results-detail/306824","PD-19-088Y")</f>
        <v>PD-19-088Y</v>
      </c>
      <c r="B795" s="6" t="s">
        <v>2824</v>
      </c>
      <c r="C795" s="6" t="s">
        <v>322</v>
      </c>
      <c r="D795" s="6" t="s">
        <v>323</v>
      </c>
      <c r="F795" s="8" t="s">
        <v>18</v>
      </c>
      <c r="G795" s="8" t="s">
        <v>18</v>
      </c>
      <c r="I795" s="6" t="s">
        <v>96</v>
      </c>
      <c r="J795" s="6" t="s">
        <v>2825</v>
      </c>
    </row>
    <row r="796" spans="1:10" ht="409.5" x14ac:dyDescent="0.25">
      <c r="A796" s="6" t="str">
        <f>HYPERLINK("https://grants.gov/search-results-detail/306167","PD-19-006Y")</f>
        <v>PD-19-006Y</v>
      </c>
      <c r="B796" s="6" t="s">
        <v>2826</v>
      </c>
      <c r="C796" s="6" t="s">
        <v>322</v>
      </c>
      <c r="D796" s="6" t="s">
        <v>323</v>
      </c>
      <c r="F796" s="8" t="s">
        <v>18</v>
      </c>
      <c r="G796" s="8" t="s">
        <v>18</v>
      </c>
      <c r="I796" s="6" t="s">
        <v>96</v>
      </c>
      <c r="J796" s="6" t="s">
        <v>2827</v>
      </c>
    </row>
    <row r="797" spans="1:10" ht="409.5" x14ac:dyDescent="0.25">
      <c r="A797" s="6" t="str">
        <f>HYPERLINK("https://grants.gov/search-results-detail/306172","PD-19-1630")</f>
        <v>PD-19-1630</v>
      </c>
      <c r="B797" s="6" t="s">
        <v>2828</v>
      </c>
      <c r="C797" s="6" t="s">
        <v>322</v>
      </c>
      <c r="D797" s="6" t="s">
        <v>323</v>
      </c>
      <c r="F797" s="8" t="s">
        <v>18</v>
      </c>
      <c r="G797" s="8" t="s">
        <v>18</v>
      </c>
      <c r="I797" s="6" t="s">
        <v>96</v>
      </c>
      <c r="J797" s="6" t="s">
        <v>2829</v>
      </c>
    </row>
    <row r="798" spans="1:10" ht="409.5" x14ac:dyDescent="0.25">
      <c r="A798" s="6" t="str">
        <f>HYPERLINK("https://grants.gov/search-results-detail/306193","PD-19-1631")</f>
        <v>PD-19-1631</v>
      </c>
      <c r="B798" s="6" t="s">
        <v>2830</v>
      </c>
      <c r="C798" s="6" t="s">
        <v>322</v>
      </c>
      <c r="D798" s="6" t="s">
        <v>323</v>
      </c>
      <c r="F798" s="8" t="s">
        <v>18</v>
      </c>
      <c r="G798" s="8" t="s">
        <v>18</v>
      </c>
      <c r="I798" s="6" t="s">
        <v>96</v>
      </c>
      <c r="J798" s="6" t="s">
        <v>2831</v>
      </c>
    </row>
    <row r="799" spans="1:10" ht="409.5" x14ac:dyDescent="0.25">
      <c r="A799" s="6" t="str">
        <f>HYPERLINK("https://grants.gov/search-results-detail/306194","PD-19-1638")</f>
        <v>PD-19-1638</v>
      </c>
      <c r="B799" s="6" t="s">
        <v>2832</v>
      </c>
      <c r="C799" s="6" t="s">
        <v>322</v>
      </c>
      <c r="D799" s="6" t="s">
        <v>323</v>
      </c>
      <c r="F799" s="8" t="s">
        <v>18</v>
      </c>
      <c r="G799" s="8" t="s">
        <v>18</v>
      </c>
      <c r="I799" s="6" t="s">
        <v>96</v>
      </c>
      <c r="J799" s="6" t="s">
        <v>2833</v>
      </c>
    </row>
    <row r="800" spans="1:10" ht="409.5" x14ac:dyDescent="0.25">
      <c r="A800" s="6" t="str">
        <f>HYPERLINK("https://grants.gov/search-results-detail/306170","PD-19-072Y")</f>
        <v>PD-19-072Y</v>
      </c>
      <c r="B800" s="6" t="s">
        <v>2834</v>
      </c>
      <c r="C800" s="6" t="s">
        <v>322</v>
      </c>
      <c r="D800" s="6" t="s">
        <v>323</v>
      </c>
      <c r="F800" s="8" t="s">
        <v>18</v>
      </c>
      <c r="G800" s="8" t="s">
        <v>18</v>
      </c>
      <c r="I800" s="6" t="s">
        <v>96</v>
      </c>
      <c r="J800" s="6" t="s">
        <v>2835</v>
      </c>
    </row>
    <row r="801" spans="1:10" ht="409.5" x14ac:dyDescent="0.25">
      <c r="A801" s="6" t="str">
        <f>HYPERLINK("https://grants.gov/search-results-detail/306169","PD-19-073Y")</f>
        <v>PD-19-073Y</v>
      </c>
      <c r="B801" s="6" t="s">
        <v>2836</v>
      </c>
      <c r="C801" s="6" t="s">
        <v>322</v>
      </c>
      <c r="D801" s="6" t="s">
        <v>323</v>
      </c>
      <c r="F801" s="8" t="s">
        <v>18</v>
      </c>
      <c r="G801" s="8" t="s">
        <v>18</v>
      </c>
      <c r="I801" s="6" t="s">
        <v>96</v>
      </c>
      <c r="J801" s="6" t="s">
        <v>2837</v>
      </c>
    </row>
    <row r="802" spans="1:10" ht="409.5" x14ac:dyDescent="0.25">
      <c r="A802" s="6" t="str">
        <f>HYPERLINK("https://grants.gov/search-results-detail/306171","PD-19-7479")</f>
        <v>PD-19-7479</v>
      </c>
      <c r="B802" s="6" t="s">
        <v>2838</v>
      </c>
      <c r="C802" s="6" t="s">
        <v>322</v>
      </c>
      <c r="D802" s="6" t="s">
        <v>323</v>
      </c>
      <c r="F802" s="8">
        <v>400000</v>
      </c>
      <c r="G802" s="8">
        <v>5000</v>
      </c>
      <c r="I802" s="6" t="s">
        <v>96</v>
      </c>
      <c r="J802" s="6" t="s">
        <v>2839</v>
      </c>
    </row>
    <row r="803" spans="1:10" ht="390" x14ac:dyDescent="0.25">
      <c r="A803" s="6" t="str">
        <f>HYPERLINK("https://grants.gov/search-results-detail/304553","18-556")</f>
        <v>18-556</v>
      </c>
      <c r="B803" s="6" t="s">
        <v>2845</v>
      </c>
      <c r="C803" s="6" t="s">
        <v>322</v>
      </c>
      <c r="D803" s="6" t="s">
        <v>323</v>
      </c>
      <c r="F803" s="8" t="s">
        <v>18</v>
      </c>
      <c r="G803" s="8" t="s">
        <v>18</v>
      </c>
      <c r="H803" s="6">
        <v>10</v>
      </c>
      <c r="I803" s="6" t="s">
        <v>96</v>
      </c>
      <c r="J803" s="6" t="s">
        <v>2846</v>
      </c>
    </row>
    <row r="804" spans="1:10" ht="409.5" x14ac:dyDescent="0.25">
      <c r="A804" s="6" t="str">
        <f>HYPERLINK("https://grants.gov/search-results-detail/295449","PD-17-1620")</f>
        <v>PD-17-1620</v>
      </c>
      <c r="B804" s="6" t="s">
        <v>2878</v>
      </c>
      <c r="C804" s="6" t="s">
        <v>322</v>
      </c>
      <c r="D804" s="6" t="s">
        <v>323</v>
      </c>
      <c r="F804" s="8" t="s">
        <v>18</v>
      </c>
      <c r="G804" s="8" t="s">
        <v>18</v>
      </c>
      <c r="I804" s="6" t="s">
        <v>96</v>
      </c>
      <c r="J804" s="6" t="s">
        <v>2879</v>
      </c>
    </row>
    <row r="805" spans="1:10" ht="409.5" x14ac:dyDescent="0.25">
      <c r="A805" s="6" t="str">
        <f>HYPERLINK("https://grants.gov/search-results-detail/275110","PD-06-5740")</f>
        <v>PD-06-5740</v>
      </c>
      <c r="B805" s="6" t="s">
        <v>2926</v>
      </c>
      <c r="C805" s="6" t="s">
        <v>322</v>
      </c>
      <c r="D805" s="6" t="s">
        <v>323</v>
      </c>
      <c r="F805" s="8" t="s">
        <v>18</v>
      </c>
      <c r="G805" s="8" t="s">
        <v>18</v>
      </c>
      <c r="I805" s="6" t="s">
        <v>96</v>
      </c>
      <c r="J805" s="6" t="s">
        <v>2927</v>
      </c>
    </row>
    <row r="806" spans="1:10" ht="255" x14ac:dyDescent="0.25">
      <c r="A806" s="6" t="str">
        <f>HYPERLINK("https://grants.gov/search-results-detail/275151","PD-98-5750")</f>
        <v>PD-98-5750</v>
      </c>
      <c r="B806" s="6" t="s">
        <v>2928</v>
      </c>
      <c r="C806" s="6" t="s">
        <v>322</v>
      </c>
      <c r="D806" s="6" t="s">
        <v>323</v>
      </c>
      <c r="F806" s="8" t="s">
        <v>18</v>
      </c>
      <c r="G806" s="8" t="s">
        <v>18</v>
      </c>
      <c r="I806" s="6" t="s">
        <v>96</v>
      </c>
      <c r="J806" s="6" t="s">
        <v>2929</v>
      </c>
    </row>
    <row r="807" spans="1:10" ht="330" x14ac:dyDescent="0.25">
      <c r="A807" s="6" t="str">
        <f>HYPERLINK("https://grants.gov/search-results-detail/275109","PD-05-1743")</f>
        <v>PD-05-1743</v>
      </c>
      <c r="B807" s="6" t="s">
        <v>2930</v>
      </c>
      <c r="C807" s="6" t="s">
        <v>322</v>
      </c>
      <c r="D807" s="6" t="s">
        <v>323</v>
      </c>
      <c r="F807" s="8" t="s">
        <v>18</v>
      </c>
      <c r="G807" s="8" t="s">
        <v>18</v>
      </c>
      <c r="I807" s="6" t="s">
        <v>96</v>
      </c>
      <c r="J807" s="6" t="s">
        <v>2931</v>
      </c>
    </row>
    <row r="808" spans="1:10" ht="255" x14ac:dyDescent="0.25">
      <c r="A808" s="6" t="str">
        <f>HYPERLINK("https://grants.gov/search-results-detail/275139","PD-04-4202")</f>
        <v>PD-04-4202</v>
      </c>
      <c r="B808" s="6" t="s">
        <v>2932</v>
      </c>
      <c r="C808" s="6" t="s">
        <v>322</v>
      </c>
      <c r="D808" s="6" t="s">
        <v>323</v>
      </c>
      <c r="F808" s="8" t="s">
        <v>18</v>
      </c>
      <c r="G808" s="8" t="s">
        <v>18</v>
      </c>
      <c r="I808" s="6" t="s">
        <v>96</v>
      </c>
      <c r="J808" s="6" t="s">
        <v>2933</v>
      </c>
    </row>
    <row r="809" spans="1:10" ht="409.5" x14ac:dyDescent="0.25">
      <c r="A809" s="6" t="str">
        <f>HYPERLINK("https://grants.gov/search-results-detail/275143","PD-98-1521")</f>
        <v>PD-98-1521</v>
      </c>
      <c r="B809" s="6" t="s">
        <v>2934</v>
      </c>
      <c r="C809" s="6" t="s">
        <v>322</v>
      </c>
      <c r="D809" s="6" t="s">
        <v>323</v>
      </c>
      <c r="F809" s="8" t="s">
        <v>18</v>
      </c>
      <c r="G809" s="8" t="s">
        <v>18</v>
      </c>
      <c r="I809" s="6" t="s">
        <v>96</v>
      </c>
      <c r="J809" s="6" t="s">
        <v>2935</v>
      </c>
    </row>
    <row r="810" spans="1:10" ht="165" x14ac:dyDescent="0.25">
      <c r="A810" s="6" t="str">
        <f>HYPERLINK("https://grants.gov/search-results-detail/275145","PD-98-1523")</f>
        <v>PD-98-1523</v>
      </c>
      <c r="B810" s="6" t="s">
        <v>2936</v>
      </c>
      <c r="C810" s="6" t="s">
        <v>322</v>
      </c>
      <c r="D810" s="6" t="s">
        <v>323</v>
      </c>
      <c r="F810" s="8" t="s">
        <v>18</v>
      </c>
      <c r="G810" s="8" t="s">
        <v>18</v>
      </c>
      <c r="I810" s="6" t="s">
        <v>96</v>
      </c>
      <c r="J810" s="6" t="s">
        <v>2937</v>
      </c>
    </row>
    <row r="811" spans="1:10" ht="409.5" x14ac:dyDescent="0.25">
      <c r="A811" s="6" t="str">
        <f>HYPERLINK("https://grants.gov/search-results-detail/258835","14-579")</f>
        <v>14-579</v>
      </c>
      <c r="B811" s="6" t="s">
        <v>2960</v>
      </c>
      <c r="C811" s="6" t="s">
        <v>322</v>
      </c>
      <c r="D811" s="6" t="s">
        <v>323</v>
      </c>
      <c r="F811" s="8" t="s">
        <v>18</v>
      </c>
      <c r="G811" s="8" t="s">
        <v>18</v>
      </c>
      <c r="I811" s="6" t="s">
        <v>2961</v>
      </c>
      <c r="J811" s="6" t="s">
        <v>2962</v>
      </c>
    </row>
    <row r="812" spans="1:10" ht="409.5" x14ac:dyDescent="0.25">
      <c r="A812" s="6" t="str">
        <f>HYPERLINK("https://grants.gov/search-results-detail/254073","PD-14-5720")</f>
        <v>PD-14-5720</v>
      </c>
      <c r="B812" s="6" t="s">
        <v>2963</v>
      </c>
      <c r="C812" s="6" t="s">
        <v>322</v>
      </c>
      <c r="D812" s="6" t="s">
        <v>323</v>
      </c>
      <c r="F812" s="8" t="s">
        <v>18</v>
      </c>
      <c r="G812" s="8">
        <v>300000</v>
      </c>
      <c r="I812" s="6" t="s">
        <v>96</v>
      </c>
      <c r="J812" s="6" t="s">
        <v>2964</v>
      </c>
    </row>
    <row r="813" spans="1:10" ht="315" x14ac:dyDescent="0.25">
      <c r="A813" s="6" t="str">
        <f>HYPERLINK("https://grants.gov/search-results-detail/107113","11-066")</f>
        <v>11-066</v>
      </c>
      <c r="B813" s="6" t="s">
        <v>3012</v>
      </c>
      <c r="C813" s="6" t="s">
        <v>322</v>
      </c>
      <c r="D813" s="6" t="s">
        <v>323</v>
      </c>
      <c r="F813" s="8" t="s">
        <v>18</v>
      </c>
      <c r="G813" s="8" t="s">
        <v>18</v>
      </c>
      <c r="H813" s="6">
        <v>20</v>
      </c>
      <c r="I813" s="6" t="s">
        <v>3013</v>
      </c>
      <c r="J813" s="6" t="s">
        <v>3014</v>
      </c>
    </row>
    <row r="814" spans="1:10" ht="255" x14ac:dyDescent="0.25">
      <c r="A814" s="6" t="str">
        <f>HYPERLINK("https://grants.gov/search-results-detail/50283","PD-09-5761")</f>
        <v>PD-09-5761</v>
      </c>
      <c r="B814" s="6" t="s">
        <v>3036</v>
      </c>
      <c r="C814" s="6" t="s">
        <v>322</v>
      </c>
      <c r="D814" s="6" t="s">
        <v>323</v>
      </c>
      <c r="F814" s="8" t="s">
        <v>18</v>
      </c>
      <c r="G814" s="8" t="s">
        <v>18</v>
      </c>
      <c r="H814" s="6">
        <v>0</v>
      </c>
      <c r="I814" s="6" t="s">
        <v>96</v>
      </c>
      <c r="J814" s="6" t="s">
        <v>3037</v>
      </c>
    </row>
    <row r="815" spans="1:10" ht="409.5" x14ac:dyDescent="0.25">
      <c r="A815" s="6" t="str">
        <f>HYPERLINK("https://grants.gov/search-results-detail/45810","PD-98-1331")</f>
        <v>PD-98-1331</v>
      </c>
      <c r="B815" s="6" t="s">
        <v>3041</v>
      </c>
      <c r="C815" s="6" t="s">
        <v>322</v>
      </c>
      <c r="D815" s="6" t="s">
        <v>323</v>
      </c>
      <c r="F815" s="8" t="s">
        <v>18</v>
      </c>
      <c r="G815" s="8" t="s">
        <v>18</v>
      </c>
      <c r="I815" s="6" t="s">
        <v>96</v>
      </c>
      <c r="J815" s="6" t="s">
        <v>3042</v>
      </c>
    </row>
    <row r="816" spans="1:10" ht="409.5" x14ac:dyDescent="0.25">
      <c r="A816" s="6" t="str">
        <f>HYPERLINK("https://grants.gov/search-results-detail/45657","04-563")</f>
        <v>04-563</v>
      </c>
      <c r="B816" s="6" t="s">
        <v>3057</v>
      </c>
      <c r="C816" s="6" t="s">
        <v>322</v>
      </c>
      <c r="D816" s="6" t="s">
        <v>323</v>
      </c>
      <c r="F816" s="8" t="s">
        <v>18</v>
      </c>
      <c r="G816" s="8" t="s">
        <v>18</v>
      </c>
      <c r="I816" s="6" t="s">
        <v>3058</v>
      </c>
      <c r="J816" s="6" t="s">
        <v>3059</v>
      </c>
    </row>
    <row r="817" spans="1:10" ht="409.5" x14ac:dyDescent="0.25">
      <c r="A817" s="6" t="str">
        <f>HYPERLINK("https://grants.gov/search-results-detail/352320","DE-FOA-0003264")</f>
        <v>DE-FOA-0003264</v>
      </c>
      <c r="B817" s="6" t="s">
        <v>1905</v>
      </c>
      <c r="C817" s="6" t="s">
        <v>1641</v>
      </c>
      <c r="D817" s="6" t="s">
        <v>1642</v>
      </c>
      <c r="E817" s="7">
        <v>45433</v>
      </c>
      <c r="F817" s="8">
        <v>7050000</v>
      </c>
      <c r="G817" s="8">
        <v>750000</v>
      </c>
      <c r="I817" s="6" t="s">
        <v>1906</v>
      </c>
      <c r="J817" s="6" t="s">
        <v>1907</v>
      </c>
    </row>
    <row r="818" spans="1:10" ht="409.5" x14ac:dyDescent="0.25">
      <c r="A818" s="6" t="str">
        <f>HYPERLINK("https://grants.gov/search-results-detail/352896","DE-FOA-0003207")</f>
        <v>DE-FOA-0003207</v>
      </c>
      <c r="B818" s="6" t="s">
        <v>1652</v>
      </c>
      <c r="C818" s="6" t="s">
        <v>1641</v>
      </c>
      <c r="D818" s="6" t="s">
        <v>1642</v>
      </c>
      <c r="E818" s="7">
        <v>45489</v>
      </c>
      <c r="F818" s="8">
        <v>800000</v>
      </c>
      <c r="G818" s="8">
        <v>300000</v>
      </c>
      <c r="H818" s="6">
        <v>80</v>
      </c>
      <c r="I818" s="6" t="s">
        <v>1653</v>
      </c>
      <c r="J818" s="6" t="s">
        <v>1654</v>
      </c>
    </row>
    <row r="819" spans="1:10" ht="409.5" x14ac:dyDescent="0.25">
      <c r="A819" s="6" t="str">
        <f>HYPERLINK("https://grants.gov/search-results-detail/352897","DE-FOA-0003280")</f>
        <v>DE-FOA-0003280</v>
      </c>
      <c r="B819" s="6" t="s">
        <v>1640</v>
      </c>
      <c r="C819" s="6" t="s">
        <v>1641</v>
      </c>
      <c r="D819" s="6" t="s">
        <v>1642</v>
      </c>
      <c r="E819" s="7">
        <v>45496</v>
      </c>
      <c r="F819" s="8">
        <v>2250000</v>
      </c>
      <c r="G819" s="8">
        <v>100000</v>
      </c>
      <c r="H819" s="6">
        <v>30</v>
      </c>
      <c r="I819" s="6" t="s">
        <v>1643</v>
      </c>
      <c r="J819" s="6" t="s">
        <v>1644</v>
      </c>
    </row>
    <row r="820" spans="1:10" ht="180" x14ac:dyDescent="0.25">
      <c r="A820" s="6" t="str">
        <f>HYPERLINK("https://grants.gov/search-results-detail/353696","SB-OITST-24-001")</f>
        <v>SB-OITST-24-001</v>
      </c>
      <c r="B820" s="6" t="s">
        <v>407</v>
      </c>
      <c r="C820" s="6" t="s">
        <v>408</v>
      </c>
      <c r="D820" s="6" t="s">
        <v>409</v>
      </c>
      <c r="E820" s="7">
        <v>45449</v>
      </c>
      <c r="F820" s="8">
        <v>900000</v>
      </c>
      <c r="G820" s="8">
        <v>100000</v>
      </c>
      <c r="H820" s="6">
        <v>56</v>
      </c>
      <c r="I820" s="6" t="s">
        <v>338</v>
      </c>
      <c r="J820" s="6" t="s">
        <v>410</v>
      </c>
    </row>
    <row r="821" spans="1:10" ht="409.5" x14ac:dyDescent="0.25">
      <c r="A821" s="6" t="str">
        <f>HYPERLINK("https://grants.gov/search-results-detail/353274","ICAP-ICAP-24-001")</f>
        <v>ICAP-ICAP-24-001</v>
      </c>
      <c r="B821" s="6" t="s">
        <v>1166</v>
      </c>
      <c r="C821" s="6" t="s">
        <v>1167</v>
      </c>
      <c r="D821" s="6" t="s">
        <v>1168</v>
      </c>
      <c r="E821" s="7">
        <v>45446</v>
      </c>
      <c r="F821" s="8">
        <v>4500000</v>
      </c>
      <c r="G821" s="8">
        <v>0</v>
      </c>
      <c r="H821" s="6">
        <v>2</v>
      </c>
      <c r="I821" s="6" t="s">
        <v>809</v>
      </c>
      <c r="J821" s="6" t="s">
        <v>1169</v>
      </c>
    </row>
    <row r="822" spans="1:10" ht="409.5" x14ac:dyDescent="0.25">
      <c r="A822" s="6" t="str">
        <f>HYPERLINK("https://grants.gov/search-results-detail/353293","7200AA24RFA00008")</f>
        <v>7200AA24RFA00008</v>
      </c>
      <c r="B822" s="6" t="s">
        <v>1122</v>
      </c>
      <c r="C822" s="6" t="s">
        <v>60</v>
      </c>
      <c r="D822" s="6" t="s">
        <v>61</v>
      </c>
      <c r="E822" s="7">
        <v>45441</v>
      </c>
      <c r="F822" s="8">
        <v>321500000</v>
      </c>
      <c r="G822" s="8">
        <v>0</v>
      </c>
      <c r="I822" s="6" t="s">
        <v>1123</v>
      </c>
      <c r="J822" s="6" t="s">
        <v>1124</v>
      </c>
    </row>
    <row r="823" spans="1:10" ht="409.5" x14ac:dyDescent="0.25">
      <c r="A823" s="6" t="str">
        <f>HYPERLINK("https://grants.gov/search-results-detail/353880","7200AA24RFA00003")</f>
        <v>7200AA24RFA00003</v>
      </c>
      <c r="B823" s="6" t="s">
        <v>59</v>
      </c>
      <c r="C823" s="6" t="s">
        <v>60</v>
      </c>
      <c r="D823" s="6" t="s">
        <v>61</v>
      </c>
      <c r="E823" s="7">
        <v>45442</v>
      </c>
      <c r="F823" s="8">
        <v>12500000</v>
      </c>
      <c r="G823" s="8">
        <v>12500000</v>
      </c>
      <c r="H823" s="6">
        <v>5</v>
      </c>
      <c r="I823" s="6" t="s">
        <v>62</v>
      </c>
      <c r="J823" s="6" t="s">
        <v>63</v>
      </c>
    </row>
    <row r="824" spans="1:10" ht="405" x14ac:dyDescent="0.25">
      <c r="A824" s="6" t="str">
        <f>HYPERLINK("https://grants.gov/search-results-detail/353639","7200AA24RFA00009")</f>
        <v>7200AA24RFA00009</v>
      </c>
      <c r="B824" s="6" t="s">
        <v>450</v>
      </c>
      <c r="C824" s="6" t="s">
        <v>60</v>
      </c>
      <c r="D824" s="6" t="s">
        <v>61</v>
      </c>
      <c r="E824" s="7">
        <v>45443</v>
      </c>
      <c r="F824" s="8">
        <v>90000000</v>
      </c>
      <c r="G824" s="8">
        <v>0</v>
      </c>
      <c r="I824" s="6" t="s">
        <v>96</v>
      </c>
      <c r="J824" s="6" t="s">
        <v>451</v>
      </c>
    </row>
    <row r="825" spans="1:10" ht="409.5" x14ac:dyDescent="0.25">
      <c r="A825" s="6" t="str">
        <f>HYPERLINK("https://grants.gov/search-results-detail/312434","7200AA19APS00001")</f>
        <v>7200AA19APS00001</v>
      </c>
      <c r="B825" s="6" t="s">
        <v>2811</v>
      </c>
      <c r="C825" s="6" t="s">
        <v>60</v>
      </c>
      <c r="D825" s="6" t="s">
        <v>61</v>
      </c>
      <c r="E825" s="7">
        <v>45457</v>
      </c>
      <c r="F825" s="8">
        <v>300000000</v>
      </c>
      <c r="G825" s="8">
        <v>1000000</v>
      </c>
      <c r="I825" s="6" t="s">
        <v>2812</v>
      </c>
      <c r="J825" s="6" t="s">
        <v>2813</v>
      </c>
    </row>
    <row r="826" spans="1:10" ht="409.5" x14ac:dyDescent="0.25">
      <c r="A826" s="6" t="str">
        <f>HYPERLINK("https://grants.gov/search-results-detail/342483","7200AA22APS00008")</f>
        <v>7200AA22APS00008</v>
      </c>
      <c r="B826" s="6" t="s">
        <v>2474</v>
      </c>
      <c r="C826" s="6" t="s">
        <v>60</v>
      </c>
      <c r="D826" s="6" t="s">
        <v>61</v>
      </c>
      <c r="E826" s="7">
        <v>45490</v>
      </c>
      <c r="F826" s="8" t="s">
        <v>18</v>
      </c>
      <c r="G826" s="8" t="s">
        <v>18</v>
      </c>
      <c r="I826" s="6" t="s">
        <v>2475</v>
      </c>
      <c r="J826" s="6" t="s">
        <v>2476</v>
      </c>
    </row>
    <row r="827" spans="1:10" ht="105" x14ac:dyDescent="0.25">
      <c r="A827" s="6" t="str">
        <f>HYPERLINK("https://grants.gov/search-results-detail/352884","7201P124R00001")</f>
        <v>7201P124R00001</v>
      </c>
      <c r="B827" s="6" t="s">
        <v>1686</v>
      </c>
      <c r="C827" s="6" t="s">
        <v>60</v>
      </c>
      <c r="D827" s="6" t="s">
        <v>61</v>
      </c>
      <c r="F827" s="8">
        <v>2000000</v>
      </c>
      <c r="G827" s="8">
        <v>0</v>
      </c>
      <c r="I827" s="6" t="s">
        <v>1687</v>
      </c>
      <c r="J827" s="6" t="s">
        <v>1688</v>
      </c>
    </row>
    <row r="828" spans="1:10" ht="409.5" x14ac:dyDescent="0.25">
      <c r="A828" s="6" t="str">
        <f>HYPERLINK("https://grants.gov/search-results-detail/348888","720BHA23APS00002")</f>
        <v>720BHA23APS00002</v>
      </c>
      <c r="B828" s="6" t="s">
        <v>2258</v>
      </c>
      <c r="C828" s="6" t="s">
        <v>60</v>
      </c>
      <c r="D828" s="6" t="s">
        <v>61</v>
      </c>
      <c r="F828" s="8">
        <v>0</v>
      </c>
      <c r="G828" s="8">
        <v>0</v>
      </c>
      <c r="I828" s="6" t="s">
        <v>2259</v>
      </c>
      <c r="J828" s="6" t="s">
        <v>2260</v>
      </c>
    </row>
    <row r="829" spans="1:10" ht="225" x14ac:dyDescent="0.25">
      <c r="A829" s="6" t="str">
        <f>HYPERLINK("https://grants.gov/search-results-detail/327101","720FDA20RFA00004")</f>
        <v>720FDA20RFA00004</v>
      </c>
      <c r="B829" s="6" t="s">
        <v>2745</v>
      </c>
      <c r="C829" s="6" t="s">
        <v>60</v>
      </c>
      <c r="D829" s="6" t="s">
        <v>61</v>
      </c>
      <c r="F829" s="8">
        <v>5000000</v>
      </c>
      <c r="G829" s="8">
        <v>3000000</v>
      </c>
      <c r="H829" s="6">
        <v>3</v>
      </c>
      <c r="I829" s="6" t="s">
        <v>2746</v>
      </c>
      <c r="J829" s="6" t="s">
        <v>2747</v>
      </c>
    </row>
    <row r="830" spans="1:10" ht="405" x14ac:dyDescent="0.25">
      <c r="A830" s="6" t="str">
        <f>HYPERLINK("https://grants.gov/search-results-detail/313572","720FDA19APS00001")</f>
        <v>720FDA19APS00001</v>
      </c>
      <c r="B830" s="6" t="s">
        <v>2808</v>
      </c>
      <c r="C830" s="6" t="s">
        <v>60</v>
      </c>
      <c r="D830" s="6" t="s">
        <v>61</v>
      </c>
      <c r="F830" s="8">
        <v>1300000</v>
      </c>
      <c r="G830" s="8">
        <v>0</v>
      </c>
      <c r="H830" s="6">
        <v>1</v>
      </c>
      <c r="I830" s="6" t="s">
        <v>2809</v>
      </c>
      <c r="J830" s="6" t="s">
        <v>2810</v>
      </c>
    </row>
    <row r="831" spans="1:10" ht="409.5" x14ac:dyDescent="0.25">
      <c r="A831" s="6" t="str">
        <f>HYPERLINK("https://grants.gov/search-results-detail/309813","7200AA19RFA00004")</f>
        <v>7200AA19RFA00004</v>
      </c>
      <c r="B831" s="6" t="s">
        <v>2819</v>
      </c>
      <c r="C831" s="6" t="s">
        <v>60</v>
      </c>
      <c r="D831" s="6" t="s">
        <v>61</v>
      </c>
      <c r="F831" s="8">
        <v>85000000</v>
      </c>
      <c r="G831" s="8">
        <v>0</v>
      </c>
      <c r="H831" s="6">
        <v>1</v>
      </c>
      <c r="I831" s="6" t="s">
        <v>2820</v>
      </c>
      <c r="J831" s="6" t="s">
        <v>2821</v>
      </c>
    </row>
    <row r="832" spans="1:10" ht="409.5" x14ac:dyDescent="0.25">
      <c r="A832" s="6" t="str">
        <f>HYPERLINK("https://grants.gov/search-results-detail/305999","GLOBALHEALTH-BAA-2018")</f>
        <v>GLOBALHEALTH-BAA-2018</v>
      </c>
      <c r="B832" s="6" t="s">
        <v>2840</v>
      </c>
      <c r="C832" s="6" t="s">
        <v>60</v>
      </c>
      <c r="D832" s="6" t="s">
        <v>61</v>
      </c>
      <c r="F832" s="8">
        <v>0</v>
      </c>
      <c r="G832" s="8">
        <v>0</v>
      </c>
      <c r="I832" s="6" t="s">
        <v>96</v>
      </c>
      <c r="J832" s="6" t="s">
        <v>2841</v>
      </c>
    </row>
    <row r="833" spans="1:10" ht="409.5" x14ac:dyDescent="0.25">
      <c r="A833" s="6" t="str">
        <f>HYPERLINK("https://grants.gov/search-results-detail/302225","720FDA18APS00001")</f>
        <v>720FDA18APS00001</v>
      </c>
      <c r="B833" s="6" t="s">
        <v>2847</v>
      </c>
      <c r="C833" s="6" t="s">
        <v>60</v>
      </c>
      <c r="D833" s="6" t="s">
        <v>61</v>
      </c>
      <c r="F833" s="8">
        <v>8000000</v>
      </c>
      <c r="G833" s="8">
        <v>8000000</v>
      </c>
      <c r="H833" s="6">
        <v>1</v>
      </c>
      <c r="I833" s="6" t="s">
        <v>96</v>
      </c>
      <c r="J833" s="6" t="s">
        <v>2848</v>
      </c>
    </row>
    <row r="834" spans="1:10" ht="240" x14ac:dyDescent="0.25">
      <c r="A834" s="6" t="str">
        <f>HYPERLINK("https://grants.gov/search-results-detail/298577","720FDA18RFA00002")</f>
        <v>720FDA18RFA00002</v>
      </c>
      <c r="B834" s="6" t="s">
        <v>2869</v>
      </c>
      <c r="C834" s="6" t="s">
        <v>60</v>
      </c>
      <c r="D834" s="6" t="s">
        <v>61</v>
      </c>
      <c r="F834" s="8">
        <v>18000000</v>
      </c>
      <c r="G834" s="8">
        <v>18000000</v>
      </c>
      <c r="I834" s="6" t="s">
        <v>96</v>
      </c>
      <c r="J834" s="6" t="s">
        <v>2870</v>
      </c>
    </row>
    <row r="835" spans="1:10" ht="409.5" x14ac:dyDescent="0.25">
      <c r="A835" s="6" t="str">
        <f>HYPERLINK("https://grants.gov/search-results-detail/297145","SOL-OFDA-17-000088")</f>
        <v>SOL-OFDA-17-000088</v>
      </c>
      <c r="B835" s="6" t="s">
        <v>2876</v>
      </c>
      <c r="C835" s="6" t="s">
        <v>60</v>
      </c>
      <c r="D835" s="6" t="s">
        <v>61</v>
      </c>
      <c r="F835" s="8">
        <v>0</v>
      </c>
      <c r="G835" s="8">
        <v>0</v>
      </c>
      <c r="I835" s="6" t="s">
        <v>96</v>
      </c>
      <c r="J835" s="6" t="s">
        <v>2877</v>
      </c>
    </row>
    <row r="836" spans="1:10" ht="225" x14ac:dyDescent="0.25">
      <c r="A836" s="6" t="str">
        <f>HYPERLINK("https://grants.gov/search-results-detail/295147","APS-675-17-000001")</f>
        <v>APS-675-17-000001</v>
      </c>
      <c r="B836" s="6" t="s">
        <v>2880</v>
      </c>
      <c r="C836" s="6" t="s">
        <v>60</v>
      </c>
      <c r="D836" s="6" t="s">
        <v>61</v>
      </c>
      <c r="F836" s="8">
        <v>0</v>
      </c>
      <c r="G836" s="8">
        <v>0</v>
      </c>
      <c r="I836" s="6" t="s">
        <v>2881</v>
      </c>
      <c r="J836" s="6" t="s">
        <v>2882</v>
      </c>
    </row>
    <row r="837" spans="1:10" ht="225" x14ac:dyDescent="0.25">
      <c r="A837" s="6" t="str">
        <f>HYPERLINK("https://grants.gov/search-results-detail/273354","BAA-GLOBALHEALTH-2015")</f>
        <v>BAA-GLOBALHEALTH-2015</v>
      </c>
      <c r="B837" s="6" t="s">
        <v>2942</v>
      </c>
      <c r="C837" s="6" t="s">
        <v>60</v>
      </c>
      <c r="D837" s="6" t="s">
        <v>61</v>
      </c>
      <c r="F837" s="8">
        <v>0</v>
      </c>
      <c r="G837" s="8">
        <v>0</v>
      </c>
      <c r="I837" s="6" t="s">
        <v>2943</v>
      </c>
      <c r="J837" s="6" t="s">
        <v>2944</v>
      </c>
    </row>
    <row r="838" spans="1:10" ht="270" x14ac:dyDescent="0.25">
      <c r="A838" s="6" t="str">
        <f>HYPERLINK("https://grants.gov/search-results-detail/271284","BAA-DIA-GFBC-2015")</f>
        <v>BAA-DIA-GFBC-2015</v>
      </c>
      <c r="B838" s="6" t="s">
        <v>2945</v>
      </c>
      <c r="C838" s="6" t="s">
        <v>60</v>
      </c>
      <c r="D838" s="6" t="s">
        <v>61</v>
      </c>
      <c r="F838" s="8">
        <v>0</v>
      </c>
      <c r="G838" s="8">
        <v>0</v>
      </c>
      <c r="I838" s="6" t="s">
        <v>2946</v>
      </c>
      <c r="J838" s="6" t="s">
        <v>2947</v>
      </c>
    </row>
    <row r="839" spans="1:10" ht="225" x14ac:dyDescent="0.25">
      <c r="A839" s="6" t="str">
        <f>HYPERLINK("https://grants.gov/search-results-detail/268349","BAA-EBOLA-2014")</f>
        <v>BAA-EBOLA-2014</v>
      </c>
      <c r="B839" s="6" t="s">
        <v>2953</v>
      </c>
      <c r="C839" s="6" t="s">
        <v>60</v>
      </c>
      <c r="D839" s="6" t="s">
        <v>61</v>
      </c>
      <c r="F839" s="8">
        <v>0</v>
      </c>
      <c r="G839" s="8">
        <v>0</v>
      </c>
      <c r="I839" s="6" t="s">
        <v>2954</v>
      </c>
      <c r="J839" s="6" t="s">
        <v>2955</v>
      </c>
    </row>
    <row r="840" spans="1:10" ht="75" x14ac:dyDescent="0.25">
      <c r="A840" s="6" t="str">
        <f>HYPERLINK("https://grants.gov/search-results-detail/233279","APS-FFP-13-000001")</f>
        <v>APS-FFP-13-000001</v>
      </c>
      <c r="B840" s="6" t="s">
        <v>2974</v>
      </c>
      <c r="C840" s="6" t="s">
        <v>60</v>
      </c>
      <c r="D840" s="6" t="s">
        <v>61</v>
      </c>
      <c r="F840" s="8" t="s">
        <v>18</v>
      </c>
      <c r="G840" s="8" t="s">
        <v>18</v>
      </c>
      <c r="I840" s="6" t="s">
        <v>96</v>
      </c>
      <c r="J840" s="6" t="s">
        <v>2975</v>
      </c>
    </row>
    <row r="841" spans="1:10" ht="409.5" x14ac:dyDescent="0.25">
      <c r="A841" s="6" t="str">
        <f>HYPERLINK("https://grants.gov/search-results-detail/187913","APS-OAA-12-000007")</f>
        <v>APS-OAA-12-000007</v>
      </c>
      <c r="B841" s="6" t="s">
        <v>2986</v>
      </c>
      <c r="C841" s="6" t="s">
        <v>60</v>
      </c>
      <c r="D841" s="6" t="s">
        <v>61</v>
      </c>
      <c r="F841" s="8">
        <v>2250000</v>
      </c>
      <c r="G841" s="8">
        <v>100000</v>
      </c>
      <c r="I841" s="6" t="s">
        <v>2987</v>
      </c>
      <c r="J841" s="6" t="s">
        <v>2988</v>
      </c>
    </row>
    <row r="842" spans="1:10" ht="409.5" x14ac:dyDescent="0.25">
      <c r="A842" s="6" t="str">
        <f>HYPERLINK("https://grants.gov/search-results-detail/322853","72030620APS00001")</f>
        <v>72030620APS00001</v>
      </c>
      <c r="B842" s="6" t="s">
        <v>2776</v>
      </c>
      <c r="C842" s="6" t="s">
        <v>2777</v>
      </c>
      <c r="D842" s="6" t="s">
        <v>2778</v>
      </c>
      <c r="F842" s="8">
        <v>50000000</v>
      </c>
      <c r="G842" s="8">
        <v>0</v>
      </c>
      <c r="H842" s="6">
        <v>3</v>
      </c>
      <c r="I842" s="6" t="s">
        <v>96</v>
      </c>
      <c r="J842" s="6" t="s">
        <v>2779</v>
      </c>
    </row>
    <row r="843" spans="1:10" ht="409.5" x14ac:dyDescent="0.25">
      <c r="A843" s="6" t="str">
        <f>HYPERLINK("https://grants.gov/search-results-detail/353701","72011124RFA00003")</f>
        <v>72011124RFA00003</v>
      </c>
      <c r="B843" s="6" t="s">
        <v>367</v>
      </c>
      <c r="C843" s="6" t="s">
        <v>368</v>
      </c>
      <c r="D843" s="6" t="s">
        <v>369</v>
      </c>
      <c r="E843" s="7">
        <v>45464</v>
      </c>
      <c r="F843" s="8">
        <v>10000000</v>
      </c>
      <c r="G843" s="8">
        <v>10000000</v>
      </c>
      <c r="H843" s="6">
        <v>1</v>
      </c>
      <c r="I843" s="6" t="s">
        <v>96</v>
      </c>
      <c r="J843" s="6" t="s">
        <v>370</v>
      </c>
    </row>
    <row r="844" spans="1:10" ht="315" x14ac:dyDescent="0.25">
      <c r="A844" s="6" t="str">
        <f>HYPERLINK("https://grants.gov/search-results-detail/353615","72069524RFA00003")</f>
        <v>72069524RFA00003</v>
      </c>
      <c r="B844" s="6" t="s">
        <v>491</v>
      </c>
      <c r="C844" s="6" t="s">
        <v>492</v>
      </c>
      <c r="D844" s="6" t="s">
        <v>493</v>
      </c>
      <c r="E844" s="7">
        <v>45432</v>
      </c>
      <c r="F844" s="8">
        <v>12000000</v>
      </c>
      <c r="G844" s="8">
        <v>10000000</v>
      </c>
      <c r="H844" s="6">
        <v>1</v>
      </c>
      <c r="I844" s="6" t="s">
        <v>494</v>
      </c>
      <c r="J844" s="6" t="s">
        <v>495</v>
      </c>
    </row>
    <row r="845" spans="1:10" ht="409.5" x14ac:dyDescent="0.25">
      <c r="A845" s="6" t="str">
        <f>HYPERLINK("https://grants.gov/search-results-detail/353606","72044224RFA00001")</f>
        <v>72044224RFA00001</v>
      </c>
      <c r="B845" s="6" t="s">
        <v>482</v>
      </c>
      <c r="C845" s="6" t="s">
        <v>483</v>
      </c>
      <c r="D845" s="6" t="s">
        <v>484</v>
      </c>
      <c r="E845" s="7">
        <v>45448</v>
      </c>
      <c r="F845" s="8">
        <v>15000000</v>
      </c>
      <c r="G845" s="8">
        <v>10000000</v>
      </c>
      <c r="H845" s="6">
        <v>1</v>
      </c>
      <c r="I845" s="6" t="s">
        <v>485</v>
      </c>
      <c r="J845" s="6" t="s">
        <v>486</v>
      </c>
    </row>
    <row r="846" spans="1:10" ht="285" x14ac:dyDescent="0.25">
      <c r="A846" s="6" t="str">
        <f>HYPERLINK("https://grants.gov/search-results-detail/297845","APS-OAA-16-000001")</f>
        <v>APS-OAA-16-000001</v>
      </c>
      <c r="B846" s="6" t="s">
        <v>2871</v>
      </c>
      <c r="C846" s="6" t="s">
        <v>2872</v>
      </c>
      <c r="D846" s="6" t="s">
        <v>2873</v>
      </c>
      <c r="F846" s="8">
        <v>3333333</v>
      </c>
      <c r="G846" s="8">
        <v>0</v>
      </c>
      <c r="H846" s="6">
        <v>3</v>
      </c>
      <c r="I846" s="6" t="s">
        <v>2874</v>
      </c>
      <c r="J846" s="6" t="s">
        <v>2875</v>
      </c>
    </row>
    <row r="847" spans="1:10" ht="409.5" x14ac:dyDescent="0.25">
      <c r="A847" s="6" t="str">
        <f>HYPERLINK("https://grants.gov/search-results-detail/352991","72066024RFA00003")</f>
        <v>72066024RFA00003</v>
      </c>
      <c r="B847" s="6" t="s">
        <v>1573</v>
      </c>
      <c r="C847" s="6" t="s">
        <v>851</v>
      </c>
      <c r="D847" s="6" t="s">
        <v>852</v>
      </c>
      <c r="E847" s="7">
        <v>45429</v>
      </c>
      <c r="F847" s="8">
        <v>15000000</v>
      </c>
      <c r="G847" s="8">
        <v>0</v>
      </c>
      <c r="H847" s="6">
        <v>1</v>
      </c>
      <c r="I847" s="6" t="s">
        <v>1574</v>
      </c>
      <c r="J847" s="6" t="s">
        <v>1575</v>
      </c>
    </row>
    <row r="848" spans="1:10" ht="315" x14ac:dyDescent="0.25">
      <c r="A848" s="6" t="str">
        <f>HYPERLINK("https://grants.gov/search-results-detail/353436","72066024RFA00002")</f>
        <v>72066024RFA00002</v>
      </c>
      <c r="B848" s="6" t="s">
        <v>850</v>
      </c>
      <c r="C848" s="6" t="s">
        <v>851</v>
      </c>
      <c r="D848" s="6" t="s">
        <v>852</v>
      </c>
      <c r="E848" s="7">
        <v>45449</v>
      </c>
      <c r="F848" s="8">
        <v>28100000</v>
      </c>
      <c r="G848" s="8">
        <v>16800000</v>
      </c>
      <c r="H848" s="6">
        <v>1</v>
      </c>
      <c r="I848" s="6" t="s">
        <v>96</v>
      </c>
      <c r="J848" s="6" t="s">
        <v>853</v>
      </c>
    </row>
    <row r="849" spans="1:10" ht="409.5" x14ac:dyDescent="0.25">
      <c r="A849" s="6" t="str">
        <f>HYPERLINK("https://grants.gov/search-results-detail/252969","AID-263-14-000005")</f>
        <v>AID-263-14-000005</v>
      </c>
      <c r="B849" s="6" t="s">
        <v>2965</v>
      </c>
      <c r="C849" s="6" t="s">
        <v>2966</v>
      </c>
      <c r="D849" s="6" t="s">
        <v>2967</v>
      </c>
      <c r="F849" s="8">
        <v>20000</v>
      </c>
      <c r="G849" s="8">
        <v>0</v>
      </c>
      <c r="H849" s="6">
        <v>1</v>
      </c>
      <c r="I849" s="6" t="s">
        <v>2968</v>
      </c>
      <c r="J849" s="6" t="s">
        <v>2969</v>
      </c>
    </row>
    <row r="850" spans="1:10" ht="409.5" x14ac:dyDescent="0.25">
      <c r="A850" s="6" t="str">
        <f>HYPERLINK("https://grants.gov/search-results-detail/50471","PRE-SOLICITATION-NOTICE-YEMEN")</f>
        <v>PRE-SOLICITATION-NOTICE-YEMEN</v>
      </c>
      <c r="B850" s="6" t="s">
        <v>3031</v>
      </c>
      <c r="C850" s="6" t="s">
        <v>2966</v>
      </c>
      <c r="D850" s="6" t="s">
        <v>2967</v>
      </c>
      <c r="F850" s="8" t="s">
        <v>18</v>
      </c>
      <c r="G850" s="8" t="s">
        <v>18</v>
      </c>
      <c r="H850" s="6">
        <v>1</v>
      </c>
      <c r="I850" s="6" t="s">
        <v>3032</v>
      </c>
      <c r="J850" s="6" t="s">
        <v>3033</v>
      </c>
    </row>
    <row r="851" spans="1:10" ht="409.5" x14ac:dyDescent="0.25">
      <c r="A851" s="6" t="str">
        <f>HYPERLINK("https://grants.gov/search-results-detail/50473","PRE-SOLICITATION-NOTICE-USAID-YEMEN")</f>
        <v>PRE-SOLICITATION-NOTICE-USAID-YEMEN</v>
      </c>
      <c r="B851" s="6" t="s">
        <v>3034</v>
      </c>
      <c r="C851" s="6" t="s">
        <v>2966</v>
      </c>
      <c r="D851" s="6" t="s">
        <v>2967</v>
      </c>
      <c r="F851" s="8" t="s">
        <v>18</v>
      </c>
      <c r="G851" s="8" t="s">
        <v>18</v>
      </c>
      <c r="H851" s="6">
        <v>1</v>
      </c>
      <c r="I851" s="6" t="s">
        <v>3032</v>
      </c>
      <c r="J851" s="6" t="s">
        <v>3035</v>
      </c>
    </row>
    <row r="852" spans="1:10" ht="165" x14ac:dyDescent="0.25">
      <c r="A852" s="6" t="str">
        <f>HYPERLINK("https://grants.gov/search-results-detail/250255","114-14-INFORMATION")</f>
        <v>114-14-INFORMATION</v>
      </c>
      <c r="B852" s="6" t="s">
        <v>2970</v>
      </c>
      <c r="C852" s="6" t="s">
        <v>2971</v>
      </c>
      <c r="D852" s="6" t="s">
        <v>2972</v>
      </c>
      <c r="F852" s="8">
        <v>0</v>
      </c>
      <c r="G852" s="8">
        <v>0</v>
      </c>
      <c r="H852" s="6">
        <v>10</v>
      </c>
      <c r="I852" s="6" t="s">
        <v>96</v>
      </c>
      <c r="J852" s="6" t="s">
        <v>2973</v>
      </c>
    </row>
    <row r="853" spans="1:10" ht="409.5" x14ac:dyDescent="0.25">
      <c r="A853" s="6" t="str">
        <f>HYPERLINK("https://grants.gov/search-results-detail/352943","72063624RFA00002")</f>
        <v>72063624RFA00002</v>
      </c>
      <c r="B853" s="6" t="s">
        <v>1625</v>
      </c>
      <c r="C853" s="6" t="s">
        <v>1626</v>
      </c>
      <c r="D853" s="6" t="s">
        <v>1627</v>
      </c>
      <c r="E853" s="7">
        <v>45427</v>
      </c>
      <c r="F853" s="8">
        <v>45000000</v>
      </c>
      <c r="G853" s="8">
        <v>45000000</v>
      </c>
      <c r="H853" s="6">
        <v>1</v>
      </c>
      <c r="I853" s="6" t="s">
        <v>96</v>
      </c>
      <c r="J853" s="6" t="s">
        <v>1628</v>
      </c>
    </row>
    <row r="854" spans="1:10" ht="409.5" x14ac:dyDescent="0.25">
      <c r="A854" s="6" t="str">
        <f>HYPERLINK("https://grants.gov/search-results-detail/337250","PRE-SOLICITATION-675-22-000001")</f>
        <v>PRE-SOLICITATION-675-22-000001</v>
      </c>
      <c r="B854" s="6" t="s">
        <v>2570</v>
      </c>
      <c r="C854" s="6" t="s">
        <v>1626</v>
      </c>
      <c r="D854" s="6" t="s">
        <v>1627</v>
      </c>
      <c r="F854" s="8">
        <v>73000000</v>
      </c>
      <c r="G854" s="8">
        <v>73000000</v>
      </c>
      <c r="H854" s="6">
        <v>1</v>
      </c>
      <c r="I854" s="6" t="s">
        <v>96</v>
      </c>
      <c r="J854" s="6" t="s">
        <v>2571</v>
      </c>
    </row>
    <row r="855" spans="1:10" ht="409.5" x14ac:dyDescent="0.25">
      <c r="A855" s="6" t="str">
        <f>HYPERLINK("https://grants.gov/search-results-detail/352931","72052124RFA00002")</f>
        <v>72052124RFA00002</v>
      </c>
      <c r="B855" s="6" t="s">
        <v>1634</v>
      </c>
      <c r="C855" s="6" t="s">
        <v>1635</v>
      </c>
      <c r="D855" s="6" t="s">
        <v>1636</v>
      </c>
      <c r="E855" s="7">
        <v>45432</v>
      </c>
      <c r="F855" s="8">
        <v>6000000</v>
      </c>
      <c r="G855" s="8">
        <v>1</v>
      </c>
      <c r="H855" s="6">
        <v>1</v>
      </c>
      <c r="I855" s="6" t="s">
        <v>96</v>
      </c>
      <c r="J855" s="6" t="s">
        <v>1637</v>
      </c>
    </row>
    <row r="856" spans="1:10" ht="180" x14ac:dyDescent="0.25">
      <c r="A856" s="6" t="str">
        <f>HYPERLINK("https://grants.gov/search-results-detail/340428","72052222APS00002")</f>
        <v>72052222APS00002</v>
      </c>
      <c r="B856" s="6" t="s">
        <v>2490</v>
      </c>
      <c r="C856" s="6" t="s">
        <v>2491</v>
      </c>
      <c r="D856" s="6" t="s">
        <v>2492</v>
      </c>
      <c r="E856" s="7">
        <v>45427</v>
      </c>
      <c r="F856" s="8">
        <v>49500000</v>
      </c>
      <c r="G856" s="8">
        <v>2000000</v>
      </c>
      <c r="H856" s="6">
        <v>20</v>
      </c>
      <c r="I856" s="6" t="s">
        <v>2493</v>
      </c>
      <c r="J856" s="6" t="s">
        <v>2494</v>
      </c>
    </row>
    <row r="857" spans="1:10" ht="409.5" x14ac:dyDescent="0.25">
      <c r="A857" s="6" t="str">
        <f>HYPERLINK("https://grants.gov/search-results-detail/345910","72049723APS00001-AND-ADDENDUMS")</f>
        <v>72049723APS00001-AND-ADDENDUMS</v>
      </c>
      <c r="B857" s="6" t="s">
        <v>2397</v>
      </c>
      <c r="C857" s="6" t="s">
        <v>2398</v>
      </c>
      <c r="D857" s="6" t="s">
        <v>2399</v>
      </c>
      <c r="F857" s="8">
        <v>150000000</v>
      </c>
      <c r="G857" s="8">
        <v>0</v>
      </c>
      <c r="I857" s="6" t="s">
        <v>2400</v>
      </c>
      <c r="J857" s="6" t="s">
        <v>2401</v>
      </c>
    </row>
    <row r="858" spans="1:10" ht="330" x14ac:dyDescent="0.25">
      <c r="A858" s="6" t="str">
        <f>HYPERLINK("https://grants.gov/search-results-detail/353325","RFI-72011524RFA00004")</f>
        <v>RFI-72011524RFA00004</v>
      </c>
      <c r="B858" s="6" t="s">
        <v>1035</v>
      </c>
      <c r="C858" s="6" t="s">
        <v>364</v>
      </c>
      <c r="D858" s="6" t="s">
        <v>365</v>
      </c>
      <c r="E858" s="7">
        <v>45441</v>
      </c>
      <c r="F858" s="8">
        <v>1000000</v>
      </c>
      <c r="G858" s="8">
        <v>1</v>
      </c>
      <c r="H858" s="6">
        <v>1</v>
      </c>
      <c r="I858" s="6" t="s">
        <v>1036</v>
      </c>
      <c r="J858" s="6" t="s">
        <v>1037</v>
      </c>
    </row>
    <row r="859" spans="1:10" ht="405" x14ac:dyDescent="0.25">
      <c r="A859" s="6" t="str">
        <f>HYPERLINK("https://grants.gov/search-results-detail/353700","72011524RFA00006")</f>
        <v>72011524RFA00006</v>
      </c>
      <c r="B859" s="6" t="s">
        <v>363</v>
      </c>
      <c r="C859" s="6" t="s">
        <v>364</v>
      </c>
      <c r="D859" s="6" t="s">
        <v>365</v>
      </c>
      <c r="E859" s="7">
        <v>45450</v>
      </c>
      <c r="F859" s="8">
        <v>10000000</v>
      </c>
      <c r="G859" s="8">
        <v>1000000</v>
      </c>
      <c r="H859" s="6">
        <v>1</v>
      </c>
      <c r="I859" s="6" t="s">
        <v>96</v>
      </c>
      <c r="J859" s="6" t="s">
        <v>366</v>
      </c>
    </row>
    <row r="860" spans="1:10" ht="105" x14ac:dyDescent="0.25">
      <c r="A860" s="6" t="str">
        <f>HYPERLINK("https://grants.gov/search-results-detail/353450","72061524RFA00005")</f>
        <v>72061524RFA00005</v>
      </c>
      <c r="B860" s="6" t="s">
        <v>801</v>
      </c>
      <c r="C860" s="6" t="s">
        <v>802</v>
      </c>
      <c r="D860" s="6" t="s">
        <v>803</v>
      </c>
      <c r="E860" s="7">
        <v>45432</v>
      </c>
      <c r="F860" s="8">
        <v>14334675</v>
      </c>
      <c r="G860" s="8">
        <v>14334675</v>
      </c>
      <c r="H860" s="6">
        <v>1</v>
      </c>
      <c r="I860" s="6" t="s">
        <v>804</v>
      </c>
      <c r="J860" s="6" t="s">
        <v>805</v>
      </c>
    </row>
    <row r="861" spans="1:10" ht="225" x14ac:dyDescent="0.25">
      <c r="A861" s="6" t="str">
        <f>HYPERLINK("https://grants.gov/search-results-detail/334342","72061521RFA000016")</f>
        <v>72061521RFA000016</v>
      </c>
      <c r="B861" s="6" t="s">
        <v>2645</v>
      </c>
      <c r="C861" s="6" t="s">
        <v>802</v>
      </c>
      <c r="D861" s="6" t="s">
        <v>803</v>
      </c>
      <c r="F861" s="8">
        <v>7800000</v>
      </c>
      <c r="G861" s="8">
        <v>0</v>
      </c>
      <c r="H861" s="6">
        <v>1</v>
      </c>
      <c r="I861" s="6" t="s">
        <v>96</v>
      </c>
      <c r="J861" s="6" t="s">
        <v>2646</v>
      </c>
    </row>
    <row r="862" spans="1:10" ht="120" x14ac:dyDescent="0.25">
      <c r="A862" s="6" t="str">
        <f>HYPERLINK("https://grants.gov/search-results-detail/147073","APS-623-12-000001")</f>
        <v>APS-623-12-000001</v>
      </c>
      <c r="B862" s="6" t="s">
        <v>3000</v>
      </c>
      <c r="C862" s="6" t="s">
        <v>802</v>
      </c>
      <c r="D862" s="6" t="s">
        <v>803</v>
      </c>
      <c r="F862" s="8">
        <v>2500000</v>
      </c>
      <c r="G862" s="8">
        <v>100000</v>
      </c>
      <c r="I862" s="6" t="s">
        <v>3001</v>
      </c>
      <c r="J862" s="6" t="s">
        <v>3002</v>
      </c>
    </row>
    <row r="863" spans="1:10" ht="409.5" x14ac:dyDescent="0.25">
      <c r="A863" s="6" t="str">
        <f>HYPERLINK("https://grants.gov/search-results-detail/335595","72068821APS00003")</f>
        <v>72068821APS00003</v>
      </c>
      <c r="B863" s="6" t="s">
        <v>2628</v>
      </c>
      <c r="C863" s="6" t="s">
        <v>2629</v>
      </c>
      <c r="D863" s="6" t="s">
        <v>2630</v>
      </c>
      <c r="F863" s="8">
        <v>3000000</v>
      </c>
      <c r="G863" s="8">
        <v>250000</v>
      </c>
      <c r="I863" s="6" t="s">
        <v>96</v>
      </c>
      <c r="J863" s="6" t="s">
        <v>2631</v>
      </c>
    </row>
    <row r="864" spans="1:10" ht="300" x14ac:dyDescent="0.25">
      <c r="A864" s="6" t="str">
        <f>HYPERLINK("https://grants.gov/search-results-detail/353858","72067024RFA00001")</f>
        <v>72067024RFA00001</v>
      </c>
      <c r="B864" s="6" t="s">
        <v>93</v>
      </c>
      <c r="C864" s="6" t="s">
        <v>94</v>
      </c>
      <c r="D864" s="6" t="s">
        <v>95</v>
      </c>
      <c r="E864" s="7">
        <v>45440</v>
      </c>
      <c r="F864" s="8">
        <v>20000000</v>
      </c>
      <c r="G864" s="8">
        <v>0</v>
      </c>
      <c r="H864" s="6">
        <v>1</v>
      </c>
      <c r="I864" s="6" t="s">
        <v>96</v>
      </c>
      <c r="J864" s="6" t="s">
        <v>97</v>
      </c>
    </row>
    <row r="865" spans="1:10" ht="135" x14ac:dyDescent="0.25">
      <c r="A865" s="6" t="str">
        <f>HYPERLINK("https://grants.gov/search-results-detail/301155","PRE-SOLICITATION")</f>
        <v>PRE-SOLICITATION</v>
      </c>
      <c r="B865" s="6" t="s">
        <v>2856</v>
      </c>
      <c r="C865" s="6" t="s">
        <v>94</v>
      </c>
      <c r="D865" s="6" t="s">
        <v>95</v>
      </c>
      <c r="F865" s="8">
        <v>49700000</v>
      </c>
      <c r="G865" s="8">
        <v>0</v>
      </c>
      <c r="H865" s="6">
        <v>1</v>
      </c>
      <c r="I865" s="6" t="s">
        <v>96</v>
      </c>
      <c r="J865" s="6" t="s">
        <v>2857</v>
      </c>
    </row>
    <row r="866" spans="1:10" ht="195" x14ac:dyDescent="0.25">
      <c r="A866" s="6" t="str">
        <f>HYPERLINK("https://grants.gov/search-results-detail/353525","RFI-720656-2024")</f>
        <v>RFI-720656-2024</v>
      </c>
      <c r="B866" s="6" t="s">
        <v>646</v>
      </c>
      <c r="C866" s="6" t="s">
        <v>647</v>
      </c>
      <c r="D866" s="6" t="s">
        <v>648</v>
      </c>
      <c r="E866" s="7">
        <v>45429</v>
      </c>
      <c r="F866" s="8">
        <v>0</v>
      </c>
      <c r="G866" s="8">
        <v>0</v>
      </c>
      <c r="I866" s="6" t="s">
        <v>649</v>
      </c>
      <c r="J866" s="6" t="s">
        <v>650</v>
      </c>
    </row>
    <row r="867" spans="1:10" ht="409.5" x14ac:dyDescent="0.25">
      <c r="A867" s="6" t="str">
        <f>HYPERLINK("https://grants.gov/search-results-detail/259510","APS-620-14-000001")</f>
        <v>APS-620-14-000001</v>
      </c>
      <c r="B867" s="6" t="s">
        <v>2956</v>
      </c>
      <c r="C867" s="6" t="s">
        <v>2957</v>
      </c>
      <c r="D867" s="6" t="s">
        <v>2958</v>
      </c>
      <c r="F867" s="8">
        <v>15000000</v>
      </c>
      <c r="G867" s="8">
        <v>300000</v>
      </c>
      <c r="H867" s="6">
        <v>6</v>
      </c>
      <c r="I867" s="6" t="s">
        <v>96</v>
      </c>
      <c r="J867" s="6" t="s">
        <v>2959</v>
      </c>
    </row>
    <row r="868" spans="1:10" ht="90" x14ac:dyDescent="0.25">
      <c r="A868" s="6" t="str">
        <f>HYPERLINK("https://grants.gov/search-results-detail/228973","RFA-391-13-000009")</f>
        <v>RFA-391-13-000009</v>
      </c>
      <c r="B868" s="6" t="s">
        <v>2976</v>
      </c>
      <c r="C868" s="6" t="s">
        <v>2977</v>
      </c>
      <c r="D868" s="6" t="s">
        <v>2978</v>
      </c>
      <c r="F868" s="8" t="s">
        <v>18</v>
      </c>
      <c r="G868" s="8" t="s">
        <v>18</v>
      </c>
      <c r="H868" s="6">
        <v>0</v>
      </c>
      <c r="I868" s="6" t="s">
        <v>2979</v>
      </c>
      <c r="J868" s="6" t="s">
        <v>2980</v>
      </c>
    </row>
    <row r="869" spans="1:10" ht="255" x14ac:dyDescent="0.25">
      <c r="A869" s="6" t="str">
        <f>HYPERLINK("https://grants.gov/search-results-detail/269955","BAA-BCA-BRAZIL-2015")</f>
        <v>BAA-BCA-BRAZIL-2015</v>
      </c>
      <c r="B869" s="6" t="s">
        <v>2948</v>
      </c>
      <c r="C869" s="6" t="s">
        <v>2949</v>
      </c>
      <c r="D869" s="6" t="s">
        <v>2950</v>
      </c>
      <c r="F869" s="8">
        <v>0</v>
      </c>
      <c r="G869" s="8">
        <v>0</v>
      </c>
      <c r="I869" s="6" t="s">
        <v>2951</v>
      </c>
      <c r="J869" s="6" t="s">
        <v>2952</v>
      </c>
    </row>
    <row r="870" spans="1:10" ht="409.5" x14ac:dyDescent="0.25">
      <c r="A870" s="6" t="str">
        <f>HYPERLINK("https://grants.gov/search-results-detail/349656","72049223APS00001")</f>
        <v>72049223APS00001</v>
      </c>
      <c r="B870" s="6" t="s">
        <v>2213</v>
      </c>
      <c r="C870" s="6" t="s">
        <v>2214</v>
      </c>
      <c r="D870" s="6" t="s">
        <v>2215</v>
      </c>
      <c r="F870" s="8" t="s">
        <v>18</v>
      </c>
      <c r="G870" s="8" t="s">
        <v>18</v>
      </c>
      <c r="H870" s="6">
        <v>6</v>
      </c>
      <c r="I870" s="6" t="s">
        <v>2216</v>
      </c>
      <c r="J870" s="6" t="s">
        <v>2217</v>
      </c>
    </row>
    <row r="871" spans="1:10" ht="300" x14ac:dyDescent="0.25">
      <c r="A871" s="6" t="str">
        <f>HYPERLINK("https://grants.gov/search-results-detail/315196","72049219APS00001-02")</f>
        <v>72049219APS00001-02</v>
      </c>
      <c r="B871" s="6" t="s">
        <v>2803</v>
      </c>
      <c r="C871" s="6" t="s">
        <v>2214</v>
      </c>
      <c r="D871" s="6" t="s">
        <v>2215</v>
      </c>
      <c r="F871" s="8">
        <v>8000000</v>
      </c>
      <c r="G871" s="8">
        <v>7500000</v>
      </c>
      <c r="H871" s="6">
        <v>1</v>
      </c>
      <c r="I871" s="6" t="s">
        <v>2804</v>
      </c>
      <c r="J871" s="6" t="s">
        <v>2805</v>
      </c>
    </row>
    <row r="872" spans="1:10" ht="409.5" x14ac:dyDescent="0.25">
      <c r="A872" s="6" t="str">
        <f>HYPERLINK("https://grants.gov/search-results-detail/353263","72069624RFA00001-")</f>
        <v>72069624RFA00001-</v>
      </c>
      <c r="B872" s="6" t="s">
        <v>1173</v>
      </c>
      <c r="C872" s="6" t="s">
        <v>1174</v>
      </c>
      <c r="D872" s="6" t="s">
        <v>1175</v>
      </c>
      <c r="E872" s="7">
        <v>45441</v>
      </c>
      <c r="F872" s="8">
        <v>4000000</v>
      </c>
      <c r="G872" s="8">
        <v>4000000</v>
      </c>
      <c r="I872" s="6" t="s">
        <v>1176</v>
      </c>
      <c r="J872" s="6" t="s">
        <v>1177</v>
      </c>
    </row>
    <row r="873" spans="1:10" ht="135" x14ac:dyDescent="0.25">
      <c r="A873" s="6" t="str">
        <f>HYPERLINK("https://grants.gov/search-results-detail/169333","RFA-674-12-000006")</f>
        <v>RFA-674-12-000006</v>
      </c>
      <c r="B873" s="6" t="s">
        <v>2992</v>
      </c>
      <c r="C873" s="6" t="s">
        <v>2993</v>
      </c>
      <c r="D873" s="6" t="s">
        <v>2994</v>
      </c>
      <c r="F873" s="8">
        <v>20000000</v>
      </c>
      <c r="G873" s="8">
        <v>1</v>
      </c>
      <c r="H873" s="6">
        <v>5</v>
      </c>
      <c r="I873" s="6" t="s">
        <v>2995</v>
      </c>
      <c r="J873" s="6" t="s">
        <v>2996</v>
      </c>
    </row>
    <row r="874" spans="1:10" ht="135" x14ac:dyDescent="0.25">
      <c r="A874" s="6" t="str">
        <f>HYPERLINK("https://grants.gov/search-results-detail/169154","RFA-674-12-000005")</f>
        <v>RFA-674-12-000005</v>
      </c>
      <c r="B874" s="6" t="s">
        <v>2997</v>
      </c>
      <c r="C874" s="6" t="s">
        <v>2993</v>
      </c>
      <c r="D874" s="6" t="s">
        <v>2994</v>
      </c>
      <c r="F874" s="8">
        <v>20000000</v>
      </c>
      <c r="G874" s="8">
        <v>1</v>
      </c>
      <c r="H874" s="6">
        <v>4</v>
      </c>
      <c r="I874" s="6" t="s">
        <v>2998</v>
      </c>
      <c r="J874" s="6" t="s">
        <v>2999</v>
      </c>
    </row>
    <row r="875" spans="1:10" ht="105" x14ac:dyDescent="0.25">
      <c r="A875" s="6" t="str">
        <f>HYPERLINK("https://grants.gov/search-results-detail/133033","RFA-674-12-000002")</f>
        <v>RFA-674-12-000002</v>
      </c>
      <c r="B875" s="6" t="s">
        <v>3006</v>
      </c>
      <c r="C875" s="6" t="s">
        <v>2993</v>
      </c>
      <c r="D875" s="6" t="s">
        <v>2994</v>
      </c>
      <c r="F875" s="8">
        <v>150000000</v>
      </c>
      <c r="G875" s="8">
        <v>10000000</v>
      </c>
      <c r="H875" s="6">
        <v>8</v>
      </c>
      <c r="I875" s="6" t="s">
        <v>3007</v>
      </c>
      <c r="J875" s="6" t="s">
        <v>3008</v>
      </c>
    </row>
    <row r="876" spans="1:10" ht="409.5" x14ac:dyDescent="0.25">
      <c r="A876" s="6" t="str">
        <f>HYPERLINK("https://grants.gov/search-results-detail/353050","72068524APS00002")</f>
        <v>72068524APS00002</v>
      </c>
      <c r="B876" s="6" t="s">
        <v>1442</v>
      </c>
      <c r="C876" s="6" t="s">
        <v>1443</v>
      </c>
      <c r="D876" s="6" t="s">
        <v>1444</v>
      </c>
      <c r="E876" s="7">
        <v>45471</v>
      </c>
      <c r="F876" s="8">
        <v>3000000</v>
      </c>
      <c r="G876" s="8">
        <v>1000000</v>
      </c>
      <c r="H876" s="6">
        <v>3</v>
      </c>
      <c r="I876" s="6" t="s">
        <v>1445</v>
      </c>
      <c r="J876" s="6" t="s">
        <v>1446</v>
      </c>
    </row>
    <row r="877" spans="1:10" ht="409.5" x14ac:dyDescent="0.25">
      <c r="A877" s="6" t="str">
        <f>HYPERLINK("https://grants.gov/search-results-detail/310897","RFI-685-19-RGN")</f>
        <v>RFI-685-19-RGN</v>
      </c>
      <c r="B877" s="6" t="s">
        <v>2814</v>
      </c>
      <c r="C877" s="6" t="s">
        <v>1443</v>
      </c>
      <c r="D877" s="6" t="s">
        <v>1444</v>
      </c>
      <c r="F877" s="8">
        <v>0</v>
      </c>
      <c r="G877" s="8">
        <v>0</v>
      </c>
      <c r="I877" s="6" t="s">
        <v>96</v>
      </c>
      <c r="J877" s="6" t="s">
        <v>2815</v>
      </c>
    </row>
    <row r="878" spans="1:10" ht="409.5" x14ac:dyDescent="0.25">
      <c r="A878" s="6" t="str">
        <f>HYPERLINK("https://grants.gov/search-results-detail/305335","RFI-625-18-RISEII-HSD")</f>
        <v>RFI-625-18-RISEII-HSD</v>
      </c>
      <c r="B878" s="6" t="s">
        <v>2842</v>
      </c>
      <c r="C878" s="6" t="s">
        <v>1443</v>
      </c>
      <c r="D878" s="6" t="s">
        <v>1444</v>
      </c>
      <c r="F878" s="8" t="s">
        <v>18</v>
      </c>
      <c r="G878" s="8" t="s">
        <v>18</v>
      </c>
      <c r="H878" s="6">
        <v>1</v>
      </c>
      <c r="I878" s="6" t="s">
        <v>2843</v>
      </c>
      <c r="J878" s="6" t="s">
        <v>2844</v>
      </c>
    </row>
    <row r="879" spans="1:10" ht="409.5" x14ac:dyDescent="0.25">
      <c r="A879" s="6" t="str">
        <f>HYPERLINK("https://grants.gov/search-results-detail/300813","RFI-625-18-RISEII")</f>
        <v>RFI-625-18-RISEII</v>
      </c>
      <c r="B879" s="6" t="s">
        <v>2866</v>
      </c>
      <c r="C879" s="6" t="s">
        <v>1443</v>
      </c>
      <c r="D879" s="6" t="s">
        <v>1444</v>
      </c>
      <c r="F879" s="8">
        <v>0</v>
      </c>
      <c r="G879" s="8">
        <v>0</v>
      </c>
      <c r="I879" s="6" t="s">
        <v>2867</v>
      </c>
      <c r="J879" s="6" t="s">
        <v>2868</v>
      </c>
    </row>
    <row r="880" spans="1:10" ht="409.5" x14ac:dyDescent="0.25">
      <c r="A880" s="6" t="str">
        <f>HYPERLINK("https://grants.gov/search-results-detail/292502","RFI-383-17-GVP-CS")</f>
        <v>RFI-383-17-GVP-CS</v>
      </c>
      <c r="B880" s="6" t="s">
        <v>2886</v>
      </c>
      <c r="C880" s="6" t="s">
        <v>2887</v>
      </c>
      <c r="D880" s="6" t="s">
        <v>2888</v>
      </c>
      <c r="F880" s="8">
        <v>10000000</v>
      </c>
      <c r="G880" s="8">
        <v>0</v>
      </c>
      <c r="H880" s="6">
        <v>1</v>
      </c>
      <c r="I880" s="6" t="s">
        <v>2889</v>
      </c>
      <c r="J880" s="6" t="s">
        <v>2890</v>
      </c>
    </row>
    <row r="881" spans="1:10" ht="409.5" x14ac:dyDescent="0.25">
      <c r="A881" s="6" t="str">
        <f>HYPERLINK("https://grants.gov/search-results-detail/275378","USAID-RDMA-486-15-000011-PRESOLNOTICE")</f>
        <v>USAID-RDMA-486-15-000011-PRESOLNOTICE</v>
      </c>
      <c r="B881" s="6" t="s">
        <v>2921</v>
      </c>
      <c r="C881" s="6" t="s">
        <v>2922</v>
      </c>
      <c r="D881" s="6" t="s">
        <v>2923</v>
      </c>
      <c r="F881" s="8">
        <v>0</v>
      </c>
      <c r="G881" s="8">
        <v>0</v>
      </c>
      <c r="H881" s="6">
        <v>0</v>
      </c>
      <c r="I881" s="6" t="s">
        <v>2924</v>
      </c>
      <c r="J881" s="6" t="s">
        <v>2925</v>
      </c>
    </row>
    <row r="882" spans="1:10" ht="409.5" x14ac:dyDescent="0.25">
      <c r="A882" s="6" t="str">
        <f>HYPERLINK("https://grants.gov/search-results-detail/42423","306-08-027-RFI")</f>
        <v>306-08-027-RFI</v>
      </c>
      <c r="B882" s="6" t="s">
        <v>3047</v>
      </c>
      <c r="C882" s="6" t="s">
        <v>2922</v>
      </c>
      <c r="D882" s="6" t="s">
        <v>2923</v>
      </c>
      <c r="F882" s="8">
        <v>150000000</v>
      </c>
      <c r="G882" s="8">
        <v>0</v>
      </c>
      <c r="H882" s="6">
        <v>1</v>
      </c>
      <c r="I882" s="6" t="s">
        <v>96</v>
      </c>
      <c r="J882" s="6" t="s">
        <v>3048</v>
      </c>
    </row>
    <row r="883" spans="1:10" ht="409.5" x14ac:dyDescent="0.25">
      <c r="A883" s="6" t="str">
        <f>HYPERLINK("https://grants.gov/search-results-detail/353122","72061724RFA00002")</f>
        <v>72061724RFA00002</v>
      </c>
      <c r="B883" s="6" t="s">
        <v>1353</v>
      </c>
      <c r="C883" s="6" t="s">
        <v>1354</v>
      </c>
      <c r="D883" s="6" t="s">
        <v>1355</v>
      </c>
      <c r="E883" s="7">
        <v>45432</v>
      </c>
      <c r="F883" s="8">
        <v>34000000</v>
      </c>
      <c r="G883" s="8" t="s">
        <v>18</v>
      </c>
      <c r="H883" s="6">
        <v>1</v>
      </c>
      <c r="I883" s="6" t="s">
        <v>96</v>
      </c>
      <c r="J883" s="6" t="s">
        <v>1356</v>
      </c>
    </row>
    <row r="884" spans="1:10" ht="330" x14ac:dyDescent="0.25">
      <c r="A884" s="6" t="str">
        <f>HYPERLINK("https://grants.gov/search-results-detail/90013","USAID-UGANDA-617-INFORMATION-04-2011")</f>
        <v>USAID-UGANDA-617-INFORMATION-04-2011</v>
      </c>
      <c r="B884" s="6" t="s">
        <v>3018</v>
      </c>
      <c r="C884" s="6" t="s">
        <v>1354</v>
      </c>
      <c r="D884" s="6" t="s">
        <v>1355</v>
      </c>
      <c r="F884" s="8">
        <v>0</v>
      </c>
      <c r="G884" s="8">
        <v>0</v>
      </c>
      <c r="I884" s="6" t="s">
        <v>96</v>
      </c>
      <c r="J884" s="6" t="s">
        <v>3019</v>
      </c>
    </row>
    <row r="885" spans="1:10" ht="240" x14ac:dyDescent="0.25">
      <c r="A885" s="6" t="str">
        <f>HYPERLINK("https://grants.gov/search-results-detail/59713","USAID-UGANDA-617-INFOMATION-10-2010")</f>
        <v>USAID-UGANDA-617-INFOMATION-10-2010</v>
      </c>
      <c r="B885" s="6" t="s">
        <v>3020</v>
      </c>
      <c r="C885" s="6" t="s">
        <v>1354</v>
      </c>
      <c r="D885" s="6" t="s">
        <v>1355</v>
      </c>
      <c r="F885" s="8" t="s">
        <v>18</v>
      </c>
      <c r="G885" s="8" t="s">
        <v>18</v>
      </c>
      <c r="H885" s="6">
        <v>0</v>
      </c>
      <c r="I885" s="6" t="s">
        <v>96</v>
      </c>
      <c r="J885" s="6" t="s">
        <v>3021</v>
      </c>
    </row>
    <row r="886" spans="1:10" ht="409.5" x14ac:dyDescent="0.25">
      <c r="A886" s="6" t="str">
        <f>HYPERLINK("https://grants.gov/search-results-detail/353443","72012124RFA00003")</f>
        <v>72012124RFA00003</v>
      </c>
      <c r="B886" s="6" t="s">
        <v>835</v>
      </c>
      <c r="C886" s="6" t="s">
        <v>836</v>
      </c>
      <c r="D886" s="6" t="s">
        <v>837</v>
      </c>
      <c r="E886" s="7">
        <v>45429</v>
      </c>
      <c r="F886" s="8">
        <v>24000000</v>
      </c>
      <c r="G886" s="8">
        <v>0</v>
      </c>
      <c r="H886" s="6">
        <v>1</v>
      </c>
      <c r="I886" s="6" t="s">
        <v>96</v>
      </c>
      <c r="J886" s="6" t="s">
        <v>838</v>
      </c>
    </row>
    <row r="887" spans="1:10" ht="300" x14ac:dyDescent="0.25">
      <c r="A887" s="6" t="str">
        <f>HYPERLINK("https://grants.gov/search-results-detail/351573","72012224RFA00001")</f>
        <v>72012224RFA00001</v>
      </c>
      <c r="B887" s="6" t="s">
        <v>2031</v>
      </c>
      <c r="C887" s="6" t="s">
        <v>2032</v>
      </c>
      <c r="D887" s="6" t="s">
        <v>2033</v>
      </c>
      <c r="E887" s="7">
        <v>45434</v>
      </c>
      <c r="F887" s="8">
        <v>10000000</v>
      </c>
      <c r="G887" s="8">
        <v>0</v>
      </c>
      <c r="I887" s="6" t="s">
        <v>2034</v>
      </c>
      <c r="J887" s="6" t="s">
        <v>2035</v>
      </c>
    </row>
    <row r="888" spans="1:10" ht="165" x14ac:dyDescent="0.25">
      <c r="A888" s="6" t="str">
        <f>HYPERLINK("https://grants.gov/search-results-detail/347779","72044023RFA00003")</f>
        <v>72044023RFA00003</v>
      </c>
      <c r="B888" s="6" t="s">
        <v>2310</v>
      </c>
      <c r="C888" s="6" t="s">
        <v>2311</v>
      </c>
      <c r="D888" s="6" t="s">
        <v>2312</v>
      </c>
      <c r="F888" s="8">
        <v>48000000</v>
      </c>
      <c r="G888" s="8">
        <v>0</v>
      </c>
      <c r="H888" s="6">
        <v>1</v>
      </c>
      <c r="I888" s="6" t="s">
        <v>96</v>
      </c>
      <c r="J888" s="6" t="s">
        <v>2313</v>
      </c>
    </row>
    <row r="889" spans="1:10" ht="135" x14ac:dyDescent="0.25">
      <c r="A889" s="6" t="str">
        <f>HYPERLINK("https://grants.gov/search-results-detail/341347","72044022RFA00005")</f>
        <v>72044022RFA00005</v>
      </c>
      <c r="B889" s="6" t="s">
        <v>2486</v>
      </c>
      <c r="C889" s="6" t="s">
        <v>2311</v>
      </c>
      <c r="D889" s="6" t="s">
        <v>2312</v>
      </c>
      <c r="F889" s="8">
        <v>12500000</v>
      </c>
      <c r="G889" s="8">
        <v>0</v>
      </c>
      <c r="H889" s="6">
        <v>1</v>
      </c>
      <c r="I889" s="6" t="s">
        <v>96</v>
      </c>
      <c r="J889" s="6" t="s">
        <v>2487</v>
      </c>
    </row>
    <row r="890" spans="1:10" ht="180" x14ac:dyDescent="0.25">
      <c r="A890" s="6" t="str">
        <f>HYPERLINK("https://grants.gov/search-results-detail/340203","72044022RFA00003")</f>
        <v>72044022RFA00003</v>
      </c>
      <c r="B890" s="6" t="s">
        <v>2497</v>
      </c>
      <c r="C890" s="6" t="s">
        <v>2311</v>
      </c>
      <c r="D890" s="6" t="s">
        <v>2312</v>
      </c>
      <c r="F890" s="8">
        <v>5514000</v>
      </c>
      <c r="G890" s="8">
        <v>0</v>
      </c>
      <c r="H890" s="6">
        <v>1</v>
      </c>
      <c r="I890" s="6" t="s">
        <v>2498</v>
      </c>
      <c r="J890" s="6" t="s">
        <v>2499</v>
      </c>
    </row>
    <row r="891" spans="1:10" ht="240" x14ac:dyDescent="0.25">
      <c r="A891" s="6" t="str">
        <f>HYPERLINK("https://grants.gov/search-results-detail/339224","72044022RFA00002")</f>
        <v>72044022RFA00002</v>
      </c>
      <c r="B891" s="6" t="s">
        <v>2525</v>
      </c>
      <c r="C891" s="6" t="s">
        <v>2311</v>
      </c>
      <c r="D891" s="6" t="s">
        <v>2312</v>
      </c>
      <c r="F891" s="8">
        <v>21400000</v>
      </c>
      <c r="G891" s="8">
        <v>0</v>
      </c>
      <c r="H891" s="6">
        <v>1</v>
      </c>
      <c r="I891" s="6" t="s">
        <v>96</v>
      </c>
      <c r="J891" s="6" t="s">
        <v>2526</v>
      </c>
    </row>
    <row r="892" spans="1:10" ht="135" x14ac:dyDescent="0.25">
      <c r="A892" s="6" t="str">
        <f>HYPERLINK("https://grants.gov/search-results-detail/331900","72044021RFA00003")</f>
        <v>72044021RFA00003</v>
      </c>
      <c r="B892" s="6" t="s">
        <v>2691</v>
      </c>
      <c r="C892" s="6" t="s">
        <v>2311</v>
      </c>
      <c r="D892" s="6" t="s">
        <v>2312</v>
      </c>
      <c r="F892" s="8">
        <v>14200000</v>
      </c>
      <c r="G892" s="8">
        <v>0</v>
      </c>
      <c r="H892" s="6">
        <v>1</v>
      </c>
      <c r="I892" s="6" t="s">
        <v>2498</v>
      </c>
      <c r="J892" s="6" t="s">
        <v>2692</v>
      </c>
    </row>
    <row r="893" spans="1:10" ht="105" x14ac:dyDescent="0.25">
      <c r="A893" s="6" t="str">
        <f>HYPERLINK("https://grants.gov/search-results-detail/331032","72044021RFA00002")</f>
        <v>72044021RFA00002</v>
      </c>
      <c r="B893" s="6" t="s">
        <v>2701</v>
      </c>
      <c r="C893" s="6" t="s">
        <v>2311</v>
      </c>
      <c r="D893" s="6" t="s">
        <v>2312</v>
      </c>
      <c r="F893" s="8">
        <v>11300000</v>
      </c>
      <c r="G893" s="8">
        <v>0</v>
      </c>
      <c r="H893" s="6">
        <v>1</v>
      </c>
      <c r="I893" s="6" t="s">
        <v>96</v>
      </c>
      <c r="J893" s="6" t="s">
        <v>2702</v>
      </c>
    </row>
    <row r="894" spans="1:10" ht="255" x14ac:dyDescent="0.25">
      <c r="A894" s="6" t="str">
        <f>HYPERLINK("https://grants.gov/search-results-detail/330715","72044021RFA00001")</f>
        <v>72044021RFA00001</v>
      </c>
      <c r="B894" s="6" t="s">
        <v>2708</v>
      </c>
      <c r="C894" s="6" t="s">
        <v>2311</v>
      </c>
      <c r="D894" s="6" t="s">
        <v>2312</v>
      </c>
      <c r="F894" s="8">
        <v>15000000</v>
      </c>
      <c r="G894" s="8">
        <v>0</v>
      </c>
      <c r="H894" s="6">
        <v>1</v>
      </c>
      <c r="I894" s="6" t="s">
        <v>96</v>
      </c>
      <c r="J894" s="6" t="s">
        <v>2709</v>
      </c>
    </row>
    <row r="895" spans="1:10" ht="315" x14ac:dyDescent="0.25">
      <c r="A895" s="6" t="str">
        <f>HYPERLINK("https://grants.gov/search-results-detail/330377","DRAFTPD-REDUCINGPOLLUTION")</f>
        <v>DRAFTPD-REDUCINGPOLLUTION</v>
      </c>
      <c r="B895" s="6" t="s">
        <v>2701</v>
      </c>
      <c r="C895" s="6" t="s">
        <v>2311</v>
      </c>
      <c r="D895" s="6" t="s">
        <v>2312</v>
      </c>
      <c r="F895" s="8" t="s">
        <v>18</v>
      </c>
      <c r="G895" s="8" t="s">
        <v>18</v>
      </c>
      <c r="H895" s="6">
        <v>1</v>
      </c>
      <c r="I895" s="6" t="s">
        <v>96</v>
      </c>
      <c r="J895" s="6" t="s">
        <v>2715</v>
      </c>
    </row>
    <row r="896" spans="1:10" ht="315" x14ac:dyDescent="0.25">
      <c r="A896" s="6" t="str">
        <f>HYPERLINK("https://grants.gov/search-results-detail/330363","DRAFTPD-HIGHEREDUCATION")</f>
        <v>DRAFTPD-HIGHEREDUCATION</v>
      </c>
      <c r="B896" s="6" t="s">
        <v>2691</v>
      </c>
      <c r="C896" s="6" t="s">
        <v>2311</v>
      </c>
      <c r="D896" s="6" t="s">
        <v>2312</v>
      </c>
      <c r="F896" s="8" t="s">
        <v>18</v>
      </c>
      <c r="G896" s="8" t="s">
        <v>18</v>
      </c>
      <c r="H896" s="6">
        <v>1</v>
      </c>
      <c r="I896" s="6" t="s">
        <v>96</v>
      </c>
      <c r="J896" s="6" t="s">
        <v>2716</v>
      </c>
    </row>
    <row r="897" spans="1:10" ht="330" x14ac:dyDescent="0.25">
      <c r="A897" s="6" t="str">
        <f>HYPERLINK("https://grants.gov/search-results-detail/329769","DRAFTPD-CWT")</f>
        <v>DRAFTPD-CWT</v>
      </c>
      <c r="B897" s="6" t="s">
        <v>2726</v>
      </c>
      <c r="C897" s="6" t="s">
        <v>2311</v>
      </c>
      <c r="D897" s="6" t="s">
        <v>2312</v>
      </c>
      <c r="F897" s="8">
        <v>16000000</v>
      </c>
      <c r="G897" s="8">
        <v>14000000</v>
      </c>
      <c r="H897" s="6">
        <v>1</v>
      </c>
      <c r="I897" s="6" t="s">
        <v>96</v>
      </c>
      <c r="J897" s="6" t="s">
        <v>2727</v>
      </c>
    </row>
    <row r="898" spans="1:10" ht="45" x14ac:dyDescent="0.25">
      <c r="A898" s="6" t="str">
        <f>HYPERLINK("https://grants.gov/search-results-detail/324942","72044020RFA00004")</f>
        <v>72044020RFA00004</v>
      </c>
      <c r="B898" s="6" t="s">
        <v>2763</v>
      </c>
      <c r="C898" s="6" t="s">
        <v>2311</v>
      </c>
      <c r="D898" s="6" t="s">
        <v>2312</v>
      </c>
      <c r="F898" s="8">
        <v>38000000</v>
      </c>
      <c r="G898" s="8">
        <v>1</v>
      </c>
      <c r="H898" s="6">
        <v>1</v>
      </c>
      <c r="I898" s="6" t="s">
        <v>96</v>
      </c>
      <c r="J898" s="6" t="s">
        <v>2764</v>
      </c>
    </row>
    <row r="899" spans="1:10" ht="409.5" x14ac:dyDescent="0.25">
      <c r="A899" s="6" t="str">
        <f>HYPERLINK("https://grants.gov/search-results-detail/281959","PRE-SOLICITATION-624-16-000001")</f>
        <v>PRE-SOLICITATION-624-16-000001</v>
      </c>
      <c r="B899" s="6" t="s">
        <v>2905</v>
      </c>
      <c r="C899" s="6" t="s">
        <v>2906</v>
      </c>
      <c r="D899" s="6" t="s">
        <v>2907</v>
      </c>
      <c r="F899" s="8">
        <v>25000000</v>
      </c>
      <c r="G899" s="8">
        <v>15000000</v>
      </c>
      <c r="H899" s="6">
        <v>1</v>
      </c>
      <c r="I899" s="6" t="s">
        <v>2908</v>
      </c>
      <c r="J899" s="6" t="s">
        <v>2909</v>
      </c>
    </row>
    <row r="900" spans="1:10" ht="409.5" x14ac:dyDescent="0.25">
      <c r="A900" s="6" t="str">
        <f>HYPERLINK("https://grants.gov/search-results-detail/300980","72029418RFA00003")</f>
        <v>72029418RFA00003</v>
      </c>
      <c r="B900" s="6" t="s">
        <v>2861</v>
      </c>
      <c r="C900" s="6" t="s">
        <v>2862</v>
      </c>
      <c r="D900" s="6" t="s">
        <v>2863</v>
      </c>
      <c r="F900" s="8">
        <v>9000000</v>
      </c>
      <c r="G900" s="8">
        <v>0</v>
      </c>
      <c r="I900" s="6" t="s">
        <v>2864</v>
      </c>
      <c r="J900" s="6" t="s">
        <v>2865</v>
      </c>
    </row>
    <row r="901" spans="1:10" ht="409.5" x14ac:dyDescent="0.25">
      <c r="A901" s="6" t="str">
        <f>HYPERLINK("https://grants.gov/search-results-detail/175614","RFA-294-12-000002")</f>
        <v>RFA-294-12-000002</v>
      </c>
      <c r="B901" s="6" t="s">
        <v>2989</v>
      </c>
      <c r="C901" s="6" t="s">
        <v>2862</v>
      </c>
      <c r="D901" s="6" t="s">
        <v>2863</v>
      </c>
      <c r="F901" s="8">
        <v>20000000</v>
      </c>
      <c r="G901" s="8">
        <v>4000000</v>
      </c>
      <c r="H901" s="6">
        <v>1</v>
      </c>
      <c r="I901" s="6" t="s">
        <v>2990</v>
      </c>
      <c r="J901" s="6" t="s">
        <v>2991</v>
      </c>
    </row>
    <row r="902" spans="1:10" ht="409.5" x14ac:dyDescent="0.25">
      <c r="A902" s="6" t="str">
        <f>HYPERLINK("https://grants.gov/search-results-detail/55065","RFA294-2010-117")</f>
        <v>RFA294-2010-117</v>
      </c>
      <c r="B902" s="6" t="s">
        <v>3022</v>
      </c>
      <c r="C902" s="6" t="s">
        <v>2862</v>
      </c>
      <c r="D902" s="6" t="s">
        <v>2863</v>
      </c>
      <c r="F902" s="8">
        <v>100000000</v>
      </c>
      <c r="G902" s="8">
        <v>30800000</v>
      </c>
      <c r="H902" s="6">
        <v>1</v>
      </c>
      <c r="I902" s="6" t="s">
        <v>3023</v>
      </c>
      <c r="J902" s="6" t="s">
        <v>3024</v>
      </c>
    </row>
    <row r="903" spans="1:10" ht="409.5" x14ac:dyDescent="0.25">
      <c r="A903" s="6" t="str">
        <f>HYPERLINK("https://grants.gov/search-results-detail/54170","RFA294-2010-115")</f>
        <v>RFA294-2010-115</v>
      </c>
      <c r="B903" s="6" t="s">
        <v>3025</v>
      </c>
      <c r="C903" s="6" t="s">
        <v>2862</v>
      </c>
      <c r="D903" s="6" t="s">
        <v>2863</v>
      </c>
      <c r="F903" s="8">
        <v>18000000</v>
      </c>
      <c r="G903" s="8">
        <v>6000000</v>
      </c>
      <c r="H903" s="6">
        <v>1</v>
      </c>
      <c r="I903" s="6" t="s">
        <v>3026</v>
      </c>
      <c r="J903" s="6" t="s">
        <v>3027</v>
      </c>
    </row>
    <row r="904" spans="1:10" ht="409.5" x14ac:dyDescent="0.25">
      <c r="A904" s="6" t="str">
        <f>HYPERLINK("https://grants.gov/search-results-detail/53806","RFA294-2010-113")</f>
        <v>RFA294-2010-113</v>
      </c>
      <c r="B904" s="6" t="s">
        <v>3028</v>
      </c>
      <c r="C904" s="6" t="s">
        <v>2862</v>
      </c>
      <c r="D904" s="6" t="s">
        <v>2863</v>
      </c>
      <c r="F904" s="8">
        <v>100000000</v>
      </c>
      <c r="G904" s="8">
        <v>15000000</v>
      </c>
      <c r="H904" s="6">
        <v>1</v>
      </c>
      <c r="I904" s="6" t="s">
        <v>3029</v>
      </c>
      <c r="J904" s="6" t="s">
        <v>3030</v>
      </c>
    </row>
    <row r="905" spans="1:10" ht="360" x14ac:dyDescent="0.25">
      <c r="A905" s="6" t="str">
        <f>HYPERLINK("https://grants.gov/search-results-detail/353110","USDA-AMS-TM-FSMIP-G-24-0014")</f>
        <v>USDA-AMS-TM-FSMIP-G-24-0014</v>
      </c>
      <c r="B905" s="6" t="s">
        <v>1376</v>
      </c>
      <c r="C905" s="6" t="s">
        <v>1377</v>
      </c>
      <c r="D905" s="6" t="s">
        <v>1378</v>
      </c>
      <c r="E905" s="7">
        <v>45433</v>
      </c>
      <c r="F905" s="8">
        <v>250000</v>
      </c>
      <c r="G905" s="8">
        <v>50000</v>
      </c>
      <c r="H905" s="6">
        <v>15</v>
      </c>
      <c r="I905" s="6" t="s">
        <v>1379</v>
      </c>
      <c r="J905" s="6" t="s">
        <v>1380</v>
      </c>
    </row>
    <row r="906" spans="1:10" ht="255" x14ac:dyDescent="0.25">
      <c r="A906" s="6" t="str">
        <f>HYPERLINK("https://grants.gov/search-results-detail/353107","USDA-AMS-TM-MGFSP-G-24-0028")</f>
        <v>USDA-AMS-TM-MGFSP-G-24-0028</v>
      </c>
      <c r="B906" s="6" t="s">
        <v>1395</v>
      </c>
      <c r="C906" s="6" t="s">
        <v>1377</v>
      </c>
      <c r="D906" s="6" t="s">
        <v>1378</v>
      </c>
      <c r="E906" s="7">
        <v>45433</v>
      </c>
      <c r="F906" s="8">
        <v>2000000</v>
      </c>
      <c r="G906" s="8">
        <v>125000</v>
      </c>
      <c r="H906" s="6">
        <v>10</v>
      </c>
      <c r="I906" s="6" t="s">
        <v>1396</v>
      </c>
      <c r="J906" s="6" t="s">
        <v>1397</v>
      </c>
    </row>
    <row r="907" spans="1:10" ht="225" x14ac:dyDescent="0.25">
      <c r="A907" s="6" t="str">
        <f>HYPERLINK("https://grants.gov/search-results-detail/353111","USDA-AMS-TM-ACER-G-24-0016")</f>
        <v>USDA-AMS-TM-ACER-G-24-0016</v>
      </c>
      <c r="B907" s="6" t="s">
        <v>1401</v>
      </c>
      <c r="C907" s="6" t="s">
        <v>1377</v>
      </c>
      <c r="D907" s="6" t="s">
        <v>1378</v>
      </c>
      <c r="E907" s="7">
        <v>45433</v>
      </c>
      <c r="F907" s="8">
        <v>500000</v>
      </c>
      <c r="G907" s="8">
        <v>200000</v>
      </c>
      <c r="H907" s="6">
        <v>15</v>
      </c>
      <c r="I907" s="6" t="s">
        <v>1402</v>
      </c>
      <c r="J907" s="6" t="s">
        <v>1403</v>
      </c>
    </row>
    <row r="908" spans="1:10" ht="409.5" x14ac:dyDescent="0.25">
      <c r="A908" s="6" t="str">
        <f>HYPERLINK("https://grants.gov/search-results-detail/353045","USDA-APHIS-10025-VSSP0000-24-0010")</f>
        <v>USDA-APHIS-10025-VSSP0000-24-0010</v>
      </c>
      <c r="B908" s="6" t="s">
        <v>1452</v>
      </c>
      <c r="C908" s="6" t="s">
        <v>786</v>
      </c>
      <c r="D908" s="6" t="s">
        <v>787</v>
      </c>
      <c r="E908" s="7">
        <v>45432</v>
      </c>
      <c r="F908" s="8" t="s">
        <v>18</v>
      </c>
      <c r="G908" s="8" t="s">
        <v>18</v>
      </c>
      <c r="I908" s="6" t="s">
        <v>1453</v>
      </c>
      <c r="J908" s="6" t="s">
        <v>1454</v>
      </c>
    </row>
    <row r="909" spans="1:10" ht="409.5" x14ac:dyDescent="0.25">
      <c r="A909" s="6" t="str">
        <f>HYPERLINK("https://grants.gov/search-results-detail/353469","USDA-APHIS-10025-VSSPRS00-24-0007")</f>
        <v>USDA-APHIS-10025-VSSPRS00-24-0007</v>
      </c>
      <c r="B909" s="6" t="s">
        <v>785</v>
      </c>
      <c r="C909" s="6" t="s">
        <v>786</v>
      </c>
      <c r="D909" s="6" t="s">
        <v>787</v>
      </c>
      <c r="E909" s="7">
        <v>45453</v>
      </c>
      <c r="F909" s="8" t="s">
        <v>18</v>
      </c>
      <c r="G909" s="8" t="s">
        <v>18</v>
      </c>
      <c r="I909" s="6" t="s">
        <v>788</v>
      </c>
      <c r="J909" s="6" t="s">
        <v>789</v>
      </c>
    </row>
    <row r="910" spans="1:10" ht="255" x14ac:dyDescent="0.25">
      <c r="A910" s="6" t="str">
        <f>HYPERLINK("https://grants.gov/search-results-detail/353471","USDA-APHIS-10028-WSNWRC00-24-0004")</f>
        <v>USDA-APHIS-10028-WSNWRC00-24-0004</v>
      </c>
      <c r="B910" s="6" t="s">
        <v>790</v>
      </c>
      <c r="C910" s="6" t="s">
        <v>786</v>
      </c>
      <c r="D910" s="6" t="s">
        <v>787</v>
      </c>
      <c r="E910" s="7">
        <v>45453</v>
      </c>
      <c r="F910" s="8" t="s">
        <v>18</v>
      </c>
      <c r="G910" s="8" t="s">
        <v>18</v>
      </c>
      <c r="I910" s="6" t="s">
        <v>791</v>
      </c>
      <c r="J910" s="6" t="s">
        <v>792</v>
      </c>
    </row>
    <row r="911" spans="1:10" ht="150" x14ac:dyDescent="0.25">
      <c r="A911" s="6" t="str">
        <f>HYPERLINK("https://grants.gov/search-results-detail/353470","USDA-APHIS-10028-WSNWRC00-24-0005")</f>
        <v>USDA-APHIS-10028-WSNWRC00-24-0005</v>
      </c>
      <c r="B911" s="6" t="s">
        <v>793</v>
      </c>
      <c r="C911" s="6" t="s">
        <v>786</v>
      </c>
      <c r="D911" s="6" t="s">
        <v>787</v>
      </c>
      <c r="E911" s="7">
        <v>45453</v>
      </c>
      <c r="F911" s="8" t="s">
        <v>18</v>
      </c>
      <c r="G911" s="8" t="s">
        <v>18</v>
      </c>
      <c r="I911" s="6" t="s">
        <v>794</v>
      </c>
      <c r="J911" s="6" t="s">
        <v>795</v>
      </c>
    </row>
    <row r="912" spans="1:10" ht="210" x14ac:dyDescent="0.25">
      <c r="A912" s="6" t="str">
        <f>HYPERLINK("https://grants.gov/search-results-detail/353354","USDA-FAS-MAP-2025")</f>
        <v>USDA-FAS-MAP-2025</v>
      </c>
      <c r="B912" s="6" t="s">
        <v>963</v>
      </c>
      <c r="C912" s="6" t="s">
        <v>227</v>
      </c>
      <c r="D912" s="6" t="s">
        <v>228</v>
      </c>
      <c r="E912" s="7">
        <v>45457</v>
      </c>
      <c r="F912" s="8">
        <v>200000000</v>
      </c>
      <c r="G912" s="8" t="s">
        <v>18</v>
      </c>
      <c r="H912" s="6">
        <v>70</v>
      </c>
      <c r="I912" s="6" t="s">
        <v>229</v>
      </c>
      <c r="J912" s="6" t="s">
        <v>964</v>
      </c>
    </row>
    <row r="913" spans="1:10" ht="150" x14ac:dyDescent="0.25">
      <c r="A913" s="6" t="str">
        <f>HYPERLINK("https://grants.gov/search-results-detail/353356","USDA-FAS-FMD-2025")</f>
        <v>USDA-FAS-FMD-2025</v>
      </c>
      <c r="B913" s="6" t="s">
        <v>970</v>
      </c>
      <c r="C913" s="6" t="s">
        <v>227</v>
      </c>
      <c r="D913" s="6" t="s">
        <v>228</v>
      </c>
      <c r="E913" s="7">
        <v>45457</v>
      </c>
      <c r="F913" s="8">
        <v>34500000</v>
      </c>
      <c r="G913" s="8" t="s">
        <v>18</v>
      </c>
      <c r="H913" s="6">
        <v>30</v>
      </c>
      <c r="I913" s="6" t="s">
        <v>229</v>
      </c>
      <c r="J913" s="6" t="s">
        <v>971</v>
      </c>
    </row>
    <row r="914" spans="1:10" ht="135" x14ac:dyDescent="0.25">
      <c r="A914" s="6" t="str">
        <f>HYPERLINK("https://grants.gov/search-results-detail/353044","USDA-FAS-10606-0700-MERIT2024")</f>
        <v>USDA-FAS-10606-0700-MERIT2024</v>
      </c>
      <c r="B914" s="6" t="s">
        <v>1438</v>
      </c>
      <c r="C914" s="6" t="s">
        <v>227</v>
      </c>
      <c r="D914" s="6" t="s">
        <v>228</v>
      </c>
      <c r="E914" s="7">
        <v>45457</v>
      </c>
      <c r="F914" s="8">
        <v>10000000</v>
      </c>
      <c r="G914" s="8" t="s">
        <v>18</v>
      </c>
      <c r="H914" s="6">
        <v>7</v>
      </c>
      <c r="I914" s="6" t="s">
        <v>229</v>
      </c>
      <c r="J914" s="6" t="s">
        <v>1439</v>
      </c>
    </row>
    <row r="915" spans="1:10" ht="195" x14ac:dyDescent="0.25">
      <c r="A915" s="6" t="str">
        <f>HYPERLINK("https://grants.gov/search-results-detail/353809","USDA-FAS-10606-0700-24")</f>
        <v>USDA-FAS-10606-0700-24</v>
      </c>
      <c r="B915" s="6" t="s">
        <v>226</v>
      </c>
      <c r="C915" s="6" t="s">
        <v>227</v>
      </c>
      <c r="D915" s="6" t="s">
        <v>228</v>
      </c>
      <c r="E915" s="7">
        <v>45474</v>
      </c>
      <c r="F915" s="8">
        <v>35000000</v>
      </c>
      <c r="G915" s="8">
        <v>20000000</v>
      </c>
      <c r="H915" s="6">
        <v>7</v>
      </c>
      <c r="I915" s="6" t="s">
        <v>229</v>
      </c>
      <c r="J915" s="6" t="s">
        <v>230</v>
      </c>
    </row>
    <row r="916" spans="1:10" ht="409.5" x14ac:dyDescent="0.25">
      <c r="A916" s="6" t="str">
        <f>HYPERLINK("https://grants.gov/search-results-detail/353629","USDA-FNS-SNAP-PTIG-2024")</f>
        <v>USDA-FNS-SNAP-PTIG-2024</v>
      </c>
      <c r="B916" s="6" t="s">
        <v>426</v>
      </c>
      <c r="C916" s="6" t="s">
        <v>32</v>
      </c>
      <c r="D916" s="6" t="s">
        <v>33</v>
      </c>
      <c r="E916" s="7">
        <v>45461</v>
      </c>
      <c r="F916" s="8">
        <v>2000000</v>
      </c>
      <c r="G916" s="8">
        <v>20000</v>
      </c>
      <c r="H916" s="6">
        <v>12</v>
      </c>
      <c r="I916" s="6" t="s">
        <v>427</v>
      </c>
      <c r="J916" s="6" t="s">
        <v>428</v>
      </c>
    </row>
    <row r="917" spans="1:10" ht="409.5" x14ac:dyDescent="0.25">
      <c r="A917" s="6" t="str">
        <f>HYPERLINK("https://grants.gov/search-results-detail/353702","USDA-FNS-SNAP-FFIG-2024")</f>
        <v>USDA-FNS-SNAP-FFIG-2024</v>
      </c>
      <c r="B917" s="6" t="s">
        <v>315</v>
      </c>
      <c r="C917" s="6" t="s">
        <v>32</v>
      </c>
      <c r="D917" s="6" t="s">
        <v>33</v>
      </c>
      <c r="E917" s="7">
        <v>45467</v>
      </c>
      <c r="F917" s="8">
        <v>750000</v>
      </c>
      <c r="G917" s="8">
        <v>150000</v>
      </c>
      <c r="H917" s="6">
        <v>9</v>
      </c>
      <c r="I917" s="6" t="s">
        <v>316</v>
      </c>
      <c r="J917" s="6" t="s">
        <v>317</v>
      </c>
    </row>
    <row r="918" spans="1:10" ht="225" x14ac:dyDescent="0.25">
      <c r="A918" s="6" t="str">
        <f>HYPERLINK("https://grants.gov/search-results-detail/353898","USDA-FNS-WIC-SUPE-24")</f>
        <v>USDA-FNS-WIC-SUPE-24</v>
      </c>
      <c r="B918" s="6" t="s">
        <v>31</v>
      </c>
      <c r="C918" s="6" t="s">
        <v>32</v>
      </c>
      <c r="D918" s="6" t="s">
        <v>33</v>
      </c>
      <c r="E918" s="7">
        <v>45481</v>
      </c>
      <c r="F918" s="8">
        <v>1550000</v>
      </c>
      <c r="G918" s="8">
        <v>0</v>
      </c>
      <c r="H918" s="6">
        <v>1</v>
      </c>
      <c r="I918" s="6" t="s">
        <v>34</v>
      </c>
      <c r="J918" s="6" t="s">
        <v>35</v>
      </c>
    </row>
    <row r="919" spans="1:10" ht="409.5" x14ac:dyDescent="0.25">
      <c r="A919" s="6" t="str">
        <f>HYPERLINK("https://grants.gov/search-results-detail/353421","USDA-FSA-NHQ-CRP-24-NOFO0001333")</f>
        <v>USDA-FSA-NHQ-CRP-24-NOFO0001333</v>
      </c>
      <c r="B919" s="6" t="s">
        <v>839</v>
      </c>
      <c r="C919" s="6" t="s">
        <v>840</v>
      </c>
      <c r="D919" s="6" t="s">
        <v>841</v>
      </c>
      <c r="E919" s="7">
        <v>45443</v>
      </c>
      <c r="F919" s="8">
        <v>5000000</v>
      </c>
      <c r="G919" s="8">
        <v>500000</v>
      </c>
      <c r="H919" s="6">
        <v>10</v>
      </c>
      <c r="I919" s="6" t="s">
        <v>842</v>
      </c>
      <c r="J919" s="6" t="s">
        <v>843</v>
      </c>
    </row>
    <row r="920" spans="1:10" ht="409.5" x14ac:dyDescent="0.25">
      <c r="A920" s="6" t="str">
        <f>HYPERLINK("https://grants.gov/search-results-detail/351821","USDA-NIFA-OP-010573")</f>
        <v>USDA-NIFA-OP-010573</v>
      </c>
      <c r="B920" s="6" t="s">
        <v>1987</v>
      </c>
      <c r="C920" s="6" t="s">
        <v>711</v>
      </c>
      <c r="D920" s="6" t="s">
        <v>712</v>
      </c>
      <c r="E920" s="7">
        <v>45442</v>
      </c>
      <c r="F920" s="8">
        <v>1200000</v>
      </c>
      <c r="G920" s="8">
        <v>50000</v>
      </c>
      <c r="H920" s="6">
        <v>2</v>
      </c>
      <c r="I920" s="6" t="s">
        <v>1988</v>
      </c>
      <c r="J920" s="6" t="s">
        <v>1989</v>
      </c>
    </row>
    <row r="921" spans="1:10" ht="180" x14ac:dyDescent="0.25">
      <c r="A921" s="6" t="str">
        <f>HYPERLINK("https://grants.gov/search-results-detail/353495","USDA-NIFA-TGP-010717")</f>
        <v>USDA-NIFA-TGP-010717</v>
      </c>
      <c r="B921" s="6" t="s">
        <v>710</v>
      </c>
      <c r="C921" s="6" t="s">
        <v>711</v>
      </c>
      <c r="D921" s="6" t="s">
        <v>712</v>
      </c>
      <c r="E921" s="7">
        <v>45448</v>
      </c>
      <c r="F921" s="8">
        <v>500000</v>
      </c>
      <c r="G921" s="8">
        <v>250000</v>
      </c>
      <c r="H921" s="6">
        <v>12</v>
      </c>
      <c r="I921" s="6" t="s">
        <v>713</v>
      </c>
      <c r="J921" s="6" t="s">
        <v>714</v>
      </c>
    </row>
    <row r="922" spans="1:10" ht="409.5" x14ac:dyDescent="0.25">
      <c r="A922" s="6" t="str">
        <f>HYPERLINK("https://grants.gov/search-results-detail/352615","USDA-NIFA-AFRI-010653")</f>
        <v>USDA-NIFA-AFRI-010653</v>
      </c>
      <c r="B922" s="6" t="s">
        <v>1788</v>
      </c>
      <c r="C922" s="6" t="s">
        <v>711</v>
      </c>
      <c r="D922" s="6" t="s">
        <v>712</v>
      </c>
      <c r="E922" s="7">
        <v>45449</v>
      </c>
      <c r="F922" s="8">
        <v>10000000</v>
      </c>
      <c r="G922" s="8">
        <v>50000</v>
      </c>
      <c r="I922" s="6" t="s">
        <v>1789</v>
      </c>
      <c r="J922" s="6" t="s">
        <v>1790</v>
      </c>
    </row>
    <row r="923" spans="1:10" ht="409.5" x14ac:dyDescent="0.25">
      <c r="A923" s="6" t="str">
        <f>HYPERLINK("https://grants.gov/search-results-detail/352887","USDA-NRCS-PR-CIG-24-NOFO0001376")</f>
        <v>USDA-NRCS-PR-CIG-24-NOFO0001376</v>
      </c>
      <c r="B923" s="6" t="s">
        <v>1665</v>
      </c>
      <c r="C923" s="6" t="s">
        <v>935</v>
      </c>
      <c r="D923" s="6" t="s">
        <v>936</v>
      </c>
      <c r="E923" s="7">
        <v>45427</v>
      </c>
      <c r="F923" s="8">
        <v>100000</v>
      </c>
      <c r="G923" s="8">
        <v>25000</v>
      </c>
      <c r="H923" s="6">
        <v>5</v>
      </c>
      <c r="I923" s="6" t="s">
        <v>1666</v>
      </c>
      <c r="J923" s="6" t="s">
        <v>1667</v>
      </c>
    </row>
    <row r="924" spans="1:10" ht="409.5" x14ac:dyDescent="0.25">
      <c r="A924" s="6" t="str">
        <f>HYPERLINK("https://grants.gov/search-results-detail/353133","USDA-NRCS-TX-MULTI-24-NOFO0001328")</f>
        <v>USDA-NRCS-TX-MULTI-24-NOFO0001328</v>
      </c>
      <c r="B924" s="6" t="s">
        <v>1371</v>
      </c>
      <c r="C924" s="6" t="s">
        <v>935</v>
      </c>
      <c r="D924" s="6" t="s">
        <v>936</v>
      </c>
      <c r="E924" s="7">
        <v>45434</v>
      </c>
      <c r="F924" s="8">
        <v>300000</v>
      </c>
      <c r="G924" s="8">
        <v>25000</v>
      </c>
      <c r="H924" s="6">
        <v>6</v>
      </c>
      <c r="I924" s="6" t="s">
        <v>842</v>
      </c>
      <c r="J924" s="6" t="s">
        <v>1372</v>
      </c>
    </row>
    <row r="925" spans="1:10" ht="409.5" x14ac:dyDescent="0.25">
      <c r="A925" s="6" t="str">
        <f>HYPERLINK("https://grants.gov/search-results-detail/353112","USDA-NRCS-WI-CTA-24-NOFO0001316")</f>
        <v>USDA-NRCS-WI-CTA-24-NOFO0001316</v>
      </c>
      <c r="B925" s="6" t="s">
        <v>1404</v>
      </c>
      <c r="C925" s="6" t="s">
        <v>935</v>
      </c>
      <c r="D925" s="6" t="s">
        <v>936</v>
      </c>
      <c r="E925" s="7">
        <v>45434</v>
      </c>
      <c r="F925" s="8">
        <v>250000</v>
      </c>
      <c r="G925" s="8">
        <v>5000</v>
      </c>
      <c r="H925" s="6">
        <v>10</v>
      </c>
      <c r="I925" s="6" t="s">
        <v>1405</v>
      </c>
      <c r="J925" s="6" t="s">
        <v>1406</v>
      </c>
    </row>
    <row r="926" spans="1:10" ht="409.5" x14ac:dyDescent="0.25">
      <c r="A926" s="6" t="str">
        <f>HYPERLINK("https://grants.gov/search-results-detail/353173","USDA-NRCS-CT-CIG-24-NOFO0001403")</f>
        <v>USDA-NRCS-CT-CIG-24-NOFO0001403</v>
      </c>
      <c r="B926" s="6" t="s">
        <v>1310</v>
      </c>
      <c r="C926" s="6" t="s">
        <v>935</v>
      </c>
      <c r="D926" s="6" t="s">
        <v>936</v>
      </c>
      <c r="E926" s="7">
        <v>45436</v>
      </c>
      <c r="F926" s="8">
        <v>250000</v>
      </c>
      <c r="G926" s="8">
        <v>20000</v>
      </c>
      <c r="H926" s="6">
        <v>3</v>
      </c>
      <c r="I926" s="6" t="s">
        <v>1311</v>
      </c>
      <c r="J926" s="6" t="s">
        <v>1312</v>
      </c>
    </row>
    <row r="927" spans="1:10" ht="409.5" x14ac:dyDescent="0.25">
      <c r="A927" s="6" t="str">
        <f>HYPERLINK("https://grants.gov/search-results-detail/353168","USDA-NRCS-OH-CTA-24-NOFO0001377")</f>
        <v>USDA-NRCS-OH-CTA-24-NOFO0001377</v>
      </c>
      <c r="B927" s="6" t="s">
        <v>1321</v>
      </c>
      <c r="C927" s="6" t="s">
        <v>935</v>
      </c>
      <c r="D927" s="6" t="s">
        <v>936</v>
      </c>
      <c r="E927" s="7">
        <v>45436</v>
      </c>
      <c r="F927" s="8">
        <v>1500000</v>
      </c>
      <c r="G927" s="8">
        <v>100000</v>
      </c>
      <c r="H927" s="6">
        <v>2</v>
      </c>
      <c r="I927" s="6" t="s">
        <v>809</v>
      </c>
      <c r="J927" s="6" t="s">
        <v>1322</v>
      </c>
    </row>
    <row r="928" spans="1:10" ht="409.5" x14ac:dyDescent="0.25">
      <c r="A928" s="6" t="str">
        <f>HYPERLINK("https://grants.gov/search-results-detail/353214","USDA-NRCS-NHQ-ST-24-NOFO0001313")</f>
        <v>USDA-NRCS-NHQ-ST-24-NOFO0001313</v>
      </c>
      <c r="B928" s="6" t="s">
        <v>1221</v>
      </c>
      <c r="C928" s="6" t="s">
        <v>935</v>
      </c>
      <c r="D928" s="6" t="s">
        <v>936</v>
      </c>
      <c r="E928" s="7">
        <v>45438</v>
      </c>
      <c r="F928" s="8">
        <v>1000000</v>
      </c>
      <c r="G928" s="8">
        <v>100000</v>
      </c>
      <c r="I928" s="6" t="s">
        <v>1222</v>
      </c>
      <c r="J928" s="6" t="s">
        <v>1223</v>
      </c>
    </row>
    <row r="929" spans="1:10" ht="409.5" x14ac:dyDescent="0.25">
      <c r="A929" s="6" t="str">
        <f>HYPERLINK("https://grants.gov/search-results-detail/353215","USDA-NRCS-MO-CIG-24-NOFO0001370")</f>
        <v>USDA-NRCS-MO-CIG-24-NOFO0001370</v>
      </c>
      <c r="B929" s="6" t="s">
        <v>1231</v>
      </c>
      <c r="C929" s="6" t="s">
        <v>935</v>
      </c>
      <c r="D929" s="6" t="s">
        <v>936</v>
      </c>
      <c r="E929" s="7">
        <v>45439</v>
      </c>
      <c r="F929" s="8">
        <v>250000</v>
      </c>
      <c r="G929" s="8">
        <v>50000</v>
      </c>
      <c r="H929" s="6">
        <v>3</v>
      </c>
      <c r="I929" s="6" t="s">
        <v>96</v>
      </c>
      <c r="J929" s="6" t="s">
        <v>1232</v>
      </c>
    </row>
    <row r="930" spans="1:10" ht="409.5" x14ac:dyDescent="0.25">
      <c r="A930" s="6" t="str">
        <f>HYPERLINK("https://grants.gov/search-results-detail/353373","USDA-NRCS-ME-TAA-24-NOFO0001362")</f>
        <v>USDA-NRCS-ME-TAA-24-NOFO0001362</v>
      </c>
      <c r="B930" s="6" t="s">
        <v>972</v>
      </c>
      <c r="C930" s="6" t="s">
        <v>935</v>
      </c>
      <c r="D930" s="6" t="s">
        <v>936</v>
      </c>
      <c r="E930" s="7">
        <v>45445</v>
      </c>
      <c r="F930" s="8">
        <v>250000</v>
      </c>
      <c r="G930" s="8">
        <v>25000</v>
      </c>
      <c r="H930" s="6">
        <v>5</v>
      </c>
      <c r="I930" s="6" t="s">
        <v>842</v>
      </c>
      <c r="J930" s="6" t="s">
        <v>973</v>
      </c>
    </row>
    <row r="931" spans="1:10" ht="409.5" x14ac:dyDescent="0.25">
      <c r="A931" s="6" t="str">
        <f>HYPERLINK("https://grants.gov/search-results-detail/353399","USDA-NRCS-NJ-CGARD-24-NOFO0001359")</f>
        <v>USDA-NRCS-NJ-CGARD-24-NOFO0001359</v>
      </c>
      <c r="B931" s="6" t="s">
        <v>934</v>
      </c>
      <c r="C931" s="6" t="s">
        <v>935</v>
      </c>
      <c r="D931" s="6" t="s">
        <v>936</v>
      </c>
      <c r="E931" s="7">
        <v>45450</v>
      </c>
      <c r="F931" s="8">
        <v>20000</v>
      </c>
      <c r="G931" s="8">
        <v>5000</v>
      </c>
      <c r="H931" s="6">
        <v>10</v>
      </c>
      <c r="I931" s="6" t="s">
        <v>274</v>
      </c>
      <c r="J931" s="6" t="s">
        <v>937</v>
      </c>
    </row>
    <row r="932" spans="1:10" ht="409.5" x14ac:dyDescent="0.25">
      <c r="A932" s="6" t="str">
        <f>HYPERLINK("https://grants.gov/search-results-detail/353379","USDA-NRCS-NHQ-RCPP-24-NOFO0001354")</f>
        <v>USDA-NRCS-NHQ-RCPP-24-NOFO0001354</v>
      </c>
      <c r="B932" s="6" t="s">
        <v>976</v>
      </c>
      <c r="C932" s="6" t="s">
        <v>935</v>
      </c>
      <c r="D932" s="6" t="s">
        <v>936</v>
      </c>
      <c r="E932" s="7">
        <v>45475</v>
      </c>
      <c r="F932" s="8">
        <v>25000000</v>
      </c>
      <c r="G932" s="8">
        <v>250000</v>
      </c>
      <c r="I932" s="6" t="s">
        <v>977</v>
      </c>
      <c r="J932" s="6" t="s">
        <v>978</v>
      </c>
    </row>
    <row r="933" spans="1:10" ht="409.5" x14ac:dyDescent="0.25">
      <c r="A933" s="6" t="str">
        <f>HYPERLINK("https://grants.gov/search-results-detail/353380","USDA-NRCS-NHQ-RCPPAFA-24-NOFO0001355")</f>
        <v>USDA-NRCS-NHQ-RCPPAFA-24-NOFO0001355</v>
      </c>
      <c r="B933" s="6" t="s">
        <v>979</v>
      </c>
      <c r="C933" s="6" t="s">
        <v>935</v>
      </c>
      <c r="D933" s="6" t="s">
        <v>936</v>
      </c>
      <c r="E933" s="7">
        <v>45475</v>
      </c>
      <c r="F933" s="8">
        <v>25000000</v>
      </c>
      <c r="G933" s="8">
        <v>250000</v>
      </c>
      <c r="I933" s="6" t="s">
        <v>980</v>
      </c>
      <c r="J933" s="6" t="s">
        <v>981</v>
      </c>
    </row>
    <row r="934" spans="1:10" ht="135" x14ac:dyDescent="0.25">
      <c r="A934" s="6" t="str">
        <f>HYPERLINK("https://grants.gov/search-results-detail/353391","RBCS-RCDG-2024")</f>
        <v>RBCS-RCDG-2024</v>
      </c>
      <c r="B934" s="6" t="s">
        <v>895</v>
      </c>
      <c r="C934" s="6" t="s">
        <v>896</v>
      </c>
      <c r="D934" s="6" t="s">
        <v>897</v>
      </c>
      <c r="E934" s="7">
        <v>45446</v>
      </c>
      <c r="F934" s="8">
        <v>200000</v>
      </c>
      <c r="G934" s="8">
        <v>0</v>
      </c>
      <c r="H934" s="6">
        <v>29</v>
      </c>
      <c r="I934" s="6" t="s">
        <v>116</v>
      </c>
      <c r="J934" s="6" t="s">
        <v>898</v>
      </c>
    </row>
    <row r="935" spans="1:10" ht="195" x14ac:dyDescent="0.25">
      <c r="A935" s="6" t="str">
        <f>HYPERLINK("https://grants.gov/search-results-detail/353365","RBCS-SDGG-2024")</f>
        <v>RBCS-SDGG-2024</v>
      </c>
      <c r="B935" s="6" t="s">
        <v>960</v>
      </c>
      <c r="C935" s="6" t="s">
        <v>896</v>
      </c>
      <c r="D935" s="6" t="s">
        <v>897</v>
      </c>
      <c r="E935" s="7">
        <v>45446</v>
      </c>
      <c r="F935" s="8">
        <v>175000</v>
      </c>
      <c r="G935" s="8">
        <v>0</v>
      </c>
      <c r="H935" s="6">
        <v>20</v>
      </c>
      <c r="I935" s="6" t="s">
        <v>961</v>
      </c>
      <c r="J935" s="6" t="s">
        <v>962</v>
      </c>
    </row>
    <row r="936" spans="1:10" ht="285" x14ac:dyDescent="0.25">
      <c r="A936" s="6" t="str">
        <f>HYPERLINK("https://grants.gov/search-results-detail/351546","RD-RBCS-24-REDLG")</f>
        <v>RD-RBCS-24-REDLG</v>
      </c>
      <c r="B936" s="6" t="s">
        <v>2041</v>
      </c>
      <c r="C936" s="6" t="s">
        <v>896</v>
      </c>
      <c r="D936" s="6" t="s">
        <v>897</v>
      </c>
      <c r="E936" s="7">
        <v>45473</v>
      </c>
      <c r="F936" s="8">
        <v>2000000</v>
      </c>
      <c r="G936" s="8">
        <v>0</v>
      </c>
      <c r="H936" s="6">
        <v>40</v>
      </c>
      <c r="I936" s="6" t="s">
        <v>2042</v>
      </c>
      <c r="J936" s="6" t="s">
        <v>2043</v>
      </c>
    </row>
    <row r="937" spans="1:10" ht="120" x14ac:dyDescent="0.25">
      <c r="A937" s="6" t="str">
        <f>HYPERLINK("https://grants.gov/search-results-detail/310029","RDBCP-REAP-RES-EEI-2019")</f>
        <v>RDBCP-REAP-RES-EEI-2019</v>
      </c>
      <c r="B937" s="6" t="s">
        <v>2816</v>
      </c>
      <c r="C937" s="6" t="s">
        <v>896</v>
      </c>
      <c r="D937" s="6" t="s">
        <v>897</v>
      </c>
      <c r="F937" s="8">
        <v>500000</v>
      </c>
      <c r="G937" s="8">
        <v>1500</v>
      </c>
      <c r="H937" s="6">
        <v>1000</v>
      </c>
      <c r="I937" s="6" t="s">
        <v>2817</v>
      </c>
      <c r="J937" s="6" t="s">
        <v>2818</v>
      </c>
    </row>
    <row r="938" spans="1:10" ht="165" x14ac:dyDescent="0.25">
      <c r="A938" s="6" t="str">
        <f>HYPERLINK("https://grants.gov/search-results-detail/279638","RDBCP-REAP-RES-EEI-2016")</f>
        <v>RDBCP-REAP-RES-EEI-2016</v>
      </c>
      <c r="B938" s="6" t="s">
        <v>2816</v>
      </c>
      <c r="C938" s="6" t="s">
        <v>896</v>
      </c>
      <c r="D938" s="6" t="s">
        <v>897</v>
      </c>
      <c r="F938" s="8">
        <v>500000</v>
      </c>
      <c r="G938" s="8">
        <v>1500</v>
      </c>
      <c r="H938" s="6">
        <v>1000</v>
      </c>
      <c r="I938" s="6" t="s">
        <v>2916</v>
      </c>
      <c r="J938" s="6" t="s">
        <v>2917</v>
      </c>
    </row>
    <row r="939" spans="1:10" ht="409.5" x14ac:dyDescent="0.25">
      <c r="A939" s="6" t="str">
        <f>HYPERLINK("https://grants.gov/search-results-detail/348870","USDA-RHS-CFDG-2023")</f>
        <v>USDA-RHS-CFDG-2023</v>
      </c>
      <c r="B939" s="6" t="s">
        <v>2230</v>
      </c>
      <c r="C939" s="6" t="s">
        <v>2231</v>
      </c>
      <c r="D939" s="6" t="s">
        <v>2232</v>
      </c>
      <c r="F939" s="8">
        <v>10</v>
      </c>
      <c r="G939" s="8">
        <v>1</v>
      </c>
      <c r="H939" s="6">
        <v>30</v>
      </c>
      <c r="I939" s="6" t="s">
        <v>2233</v>
      </c>
      <c r="J939" s="6" t="s">
        <v>2234</v>
      </c>
    </row>
    <row r="940" spans="1:10" ht="409.5" x14ac:dyDescent="0.25">
      <c r="A940" s="6" t="str">
        <f>HYPERLINK("https://grants.gov/search-results-detail/334520","USDA-RHS-ERHC-2021")</f>
        <v>USDA-RHS-ERHC-2021</v>
      </c>
      <c r="B940" s="6" t="s">
        <v>2617</v>
      </c>
      <c r="C940" s="6" t="s">
        <v>2231</v>
      </c>
      <c r="D940" s="6" t="s">
        <v>2232</v>
      </c>
      <c r="F940" s="8">
        <v>10000000</v>
      </c>
      <c r="G940" s="8">
        <v>25000</v>
      </c>
      <c r="I940" s="6" t="s">
        <v>2618</v>
      </c>
      <c r="J940" s="6" t="s">
        <v>2619</v>
      </c>
    </row>
    <row r="941" spans="1:10" ht="409.5" x14ac:dyDescent="0.25">
      <c r="A941" s="6" t="str">
        <f>HYPERLINK("https://grants.gov/search-results-detail/352008","RUS-REC-2024-1")</f>
        <v>RUS-REC-2024-1</v>
      </c>
      <c r="B941" s="6" t="s">
        <v>1806</v>
      </c>
      <c r="C941" s="6" t="s">
        <v>250</v>
      </c>
      <c r="D941" s="6" t="s">
        <v>251</v>
      </c>
      <c r="E941" s="7">
        <v>45433</v>
      </c>
      <c r="F941" s="8">
        <v>25000000</v>
      </c>
      <c r="G941" s="8">
        <v>100000</v>
      </c>
      <c r="I941" s="6" t="s">
        <v>1807</v>
      </c>
      <c r="J941" s="6" t="s">
        <v>1808</v>
      </c>
    </row>
    <row r="942" spans="1:10" ht="360" x14ac:dyDescent="0.25">
      <c r="A942" s="6" t="str">
        <f>HYPERLINK("https://grants.gov/search-results-detail/353704","RDRUS-24-DWS")</f>
        <v>RDRUS-24-DWS</v>
      </c>
      <c r="B942" s="6" t="s">
        <v>249</v>
      </c>
      <c r="C942" s="6" t="s">
        <v>250</v>
      </c>
      <c r="D942" s="6" t="s">
        <v>251</v>
      </c>
      <c r="E942" s="7">
        <v>45471</v>
      </c>
      <c r="F942" s="8">
        <v>0</v>
      </c>
      <c r="G942" s="8">
        <v>0</v>
      </c>
      <c r="H942" s="6">
        <v>10</v>
      </c>
      <c r="I942" s="6" t="s">
        <v>252</v>
      </c>
      <c r="J942" s="6" t="s">
        <v>253</v>
      </c>
    </row>
    <row r="943" spans="1:10" ht="409.5" x14ac:dyDescent="0.25">
      <c r="A943" s="6" t="str">
        <f>HYPERLINK("https://grants.gov/search-results-detail/348809","RD-RUS-CY22DISASTER")</f>
        <v>RD-RUS-CY22DISASTER</v>
      </c>
      <c r="B943" s="6" t="s">
        <v>2255</v>
      </c>
      <c r="C943" s="6" t="s">
        <v>250</v>
      </c>
      <c r="D943" s="6" t="s">
        <v>251</v>
      </c>
      <c r="F943" s="8">
        <v>0</v>
      </c>
      <c r="G943" s="8">
        <v>0</v>
      </c>
      <c r="I943" s="6" t="s">
        <v>2256</v>
      </c>
      <c r="J943" s="6" t="s">
        <v>2257</v>
      </c>
    </row>
    <row r="944" spans="1:10" ht="375" x14ac:dyDescent="0.25">
      <c r="A944" s="6" t="str">
        <f>HYPERLINK("https://grants.gov/search-results-detail/353697","24PR13")</f>
        <v>24PR13</v>
      </c>
      <c r="B944" s="6" t="s">
        <v>411</v>
      </c>
      <c r="C944" s="6" t="s">
        <v>55</v>
      </c>
      <c r="D944" s="6" t="s">
        <v>56</v>
      </c>
      <c r="E944" s="7">
        <v>45467</v>
      </c>
      <c r="F944" s="8">
        <v>1000000</v>
      </c>
      <c r="G944" s="8">
        <v>0</v>
      </c>
      <c r="H944" s="6">
        <v>1</v>
      </c>
      <c r="I944" s="6" t="s">
        <v>57</v>
      </c>
      <c r="J944" s="6" t="s">
        <v>412</v>
      </c>
    </row>
    <row r="945" spans="1:10" ht="409.5" x14ac:dyDescent="0.25">
      <c r="A945" s="6" t="str">
        <f>HYPERLINK("https://grants.gov/search-results-detail/353897","24AC07")</f>
        <v>24AC07</v>
      </c>
      <c r="B945" s="6" t="s">
        <v>54</v>
      </c>
      <c r="C945" s="6" t="s">
        <v>55</v>
      </c>
      <c r="D945" s="6" t="s">
        <v>56</v>
      </c>
      <c r="E945" s="7">
        <v>45474</v>
      </c>
      <c r="F945" s="8">
        <v>175000</v>
      </c>
      <c r="G945" s="8">
        <v>0</v>
      </c>
      <c r="H945" s="6">
        <v>1</v>
      </c>
      <c r="I945" s="6" t="s">
        <v>57</v>
      </c>
      <c r="J945" s="6" t="s">
        <v>58</v>
      </c>
    </row>
    <row r="946" spans="1:10" ht="240" x14ac:dyDescent="0.25">
      <c r="A946" s="6" t="str">
        <f>HYPERLINK("https://grants.gov/search-results-detail/353075","O-BJA-2024-172049")</f>
        <v>O-BJA-2024-172049</v>
      </c>
      <c r="B946" s="6" t="s">
        <v>1435</v>
      </c>
      <c r="C946" s="6" t="s">
        <v>50</v>
      </c>
      <c r="D946" s="6" t="s">
        <v>51</v>
      </c>
      <c r="E946" s="7">
        <v>45427</v>
      </c>
      <c r="F946" s="8">
        <v>1200000</v>
      </c>
      <c r="G946" s="8">
        <v>0</v>
      </c>
      <c r="H946" s="6">
        <v>12</v>
      </c>
      <c r="I946" s="6" t="s">
        <v>1436</v>
      </c>
      <c r="J946" s="6" t="s">
        <v>1437</v>
      </c>
    </row>
    <row r="947" spans="1:10" ht="180" x14ac:dyDescent="0.25">
      <c r="A947" s="6" t="str">
        <f>HYPERLINK("https://grants.gov/search-results-detail/353046","O-BJA-2024-172044")</f>
        <v>O-BJA-2024-172044</v>
      </c>
      <c r="B947" s="6" t="s">
        <v>1455</v>
      </c>
      <c r="C947" s="6" t="s">
        <v>50</v>
      </c>
      <c r="D947" s="6" t="s">
        <v>51</v>
      </c>
      <c r="E947" s="7">
        <v>45427</v>
      </c>
      <c r="F947" s="8">
        <v>250000</v>
      </c>
      <c r="G947" s="8">
        <v>0</v>
      </c>
      <c r="H947" s="6">
        <v>8</v>
      </c>
      <c r="I947" s="6" t="s">
        <v>511</v>
      </c>
      <c r="J947" s="6" t="s">
        <v>1456</v>
      </c>
    </row>
    <row r="948" spans="1:10" ht="255" x14ac:dyDescent="0.25">
      <c r="A948" s="6" t="str">
        <f>HYPERLINK("https://grants.gov/search-results-detail/353017","O-BJA-2024-172036")</f>
        <v>O-BJA-2024-172036</v>
      </c>
      <c r="B948" s="6" t="s">
        <v>1507</v>
      </c>
      <c r="C948" s="6" t="s">
        <v>50</v>
      </c>
      <c r="D948" s="6" t="s">
        <v>51</v>
      </c>
      <c r="E948" s="7">
        <v>45427</v>
      </c>
      <c r="F948" s="8">
        <v>440000</v>
      </c>
      <c r="G948" s="8">
        <v>0</v>
      </c>
      <c r="H948" s="6">
        <v>4</v>
      </c>
      <c r="I948" s="6" t="s">
        <v>338</v>
      </c>
      <c r="J948" s="6" t="s">
        <v>1508</v>
      </c>
    </row>
    <row r="949" spans="1:10" ht="255" x14ac:dyDescent="0.25">
      <c r="A949" s="6" t="str">
        <f>HYPERLINK("https://grants.gov/search-results-detail/353018","O-BJA-2024-172034")</f>
        <v>O-BJA-2024-172034</v>
      </c>
      <c r="B949" s="6" t="s">
        <v>1509</v>
      </c>
      <c r="C949" s="6" t="s">
        <v>50</v>
      </c>
      <c r="D949" s="6" t="s">
        <v>51</v>
      </c>
      <c r="E949" s="7">
        <v>45427</v>
      </c>
      <c r="F949" s="8">
        <v>850000</v>
      </c>
      <c r="G949" s="8">
        <v>0</v>
      </c>
      <c r="H949" s="6">
        <v>8</v>
      </c>
      <c r="I949" s="6" t="s">
        <v>1510</v>
      </c>
      <c r="J949" s="6" t="s">
        <v>1511</v>
      </c>
    </row>
    <row r="950" spans="1:10" ht="225" x14ac:dyDescent="0.25">
      <c r="A950" s="6" t="str">
        <f>HYPERLINK("https://grants.gov/search-results-detail/353230","O-BJA-2024-172062")</f>
        <v>O-BJA-2024-172062</v>
      </c>
      <c r="B950" s="6" t="s">
        <v>1193</v>
      </c>
      <c r="C950" s="6" t="s">
        <v>50</v>
      </c>
      <c r="D950" s="6" t="s">
        <v>51</v>
      </c>
      <c r="E950" s="7">
        <v>45434</v>
      </c>
      <c r="F950" s="8">
        <v>3500000</v>
      </c>
      <c r="G950" s="8">
        <v>0</v>
      </c>
      <c r="H950" s="6">
        <v>130</v>
      </c>
      <c r="I950" s="6" t="s">
        <v>274</v>
      </c>
      <c r="J950" s="6" t="s">
        <v>1194</v>
      </c>
    </row>
    <row r="951" spans="1:10" ht="255" x14ac:dyDescent="0.25">
      <c r="A951" s="6" t="str">
        <f>HYPERLINK("https://grants.gov/search-results-detail/353231","O-BJA-2024-172061")</f>
        <v>O-BJA-2024-172061</v>
      </c>
      <c r="B951" s="6" t="s">
        <v>1210</v>
      </c>
      <c r="C951" s="6" t="s">
        <v>50</v>
      </c>
      <c r="D951" s="6" t="s">
        <v>51</v>
      </c>
      <c r="E951" s="7">
        <v>45434</v>
      </c>
      <c r="F951" s="8">
        <v>1000000</v>
      </c>
      <c r="G951" s="8">
        <v>0</v>
      </c>
      <c r="H951" s="6">
        <v>10</v>
      </c>
      <c r="I951" s="6" t="s">
        <v>997</v>
      </c>
      <c r="J951" s="6" t="s">
        <v>1211</v>
      </c>
    </row>
    <row r="952" spans="1:10" ht="375" x14ac:dyDescent="0.25">
      <c r="A952" s="6" t="str">
        <f>HYPERLINK("https://grants.gov/search-results-detail/353729","O-BJA-2024-172101")</f>
        <v>O-BJA-2024-172101</v>
      </c>
      <c r="B952" s="6" t="s">
        <v>371</v>
      </c>
      <c r="C952" s="6" t="s">
        <v>50</v>
      </c>
      <c r="D952" s="6" t="s">
        <v>51</v>
      </c>
      <c r="E952" s="7">
        <v>45435</v>
      </c>
      <c r="F952" s="8">
        <v>4500000</v>
      </c>
      <c r="G952" s="8">
        <v>0</v>
      </c>
      <c r="H952" s="6">
        <v>377</v>
      </c>
      <c r="I952" s="6" t="s">
        <v>372</v>
      </c>
      <c r="J952" s="6" t="s">
        <v>373</v>
      </c>
    </row>
    <row r="953" spans="1:10" ht="105" x14ac:dyDescent="0.25">
      <c r="A953" s="6" t="str">
        <f>HYPERLINK("https://grants.gov/search-results-detail/352849","O-BJA-2024-172013")</f>
        <v>O-BJA-2024-172013</v>
      </c>
      <c r="B953" s="6" t="s">
        <v>1708</v>
      </c>
      <c r="C953" s="6" t="s">
        <v>50</v>
      </c>
      <c r="D953" s="6" t="s">
        <v>51</v>
      </c>
      <c r="E953" s="7">
        <v>45440</v>
      </c>
      <c r="F953" s="8">
        <v>750000</v>
      </c>
      <c r="G953" s="8">
        <v>0</v>
      </c>
      <c r="H953" s="6">
        <v>3</v>
      </c>
      <c r="I953" s="6" t="s">
        <v>1709</v>
      </c>
      <c r="J953" s="6" t="s">
        <v>1710</v>
      </c>
    </row>
    <row r="954" spans="1:10" ht="165" x14ac:dyDescent="0.25">
      <c r="A954" s="6" t="str">
        <f>HYPERLINK("https://grants.gov/search-results-detail/353364","O-BJA-2024-172063")</f>
        <v>O-BJA-2024-172063</v>
      </c>
      <c r="B954" s="6" t="s">
        <v>967</v>
      </c>
      <c r="C954" s="6" t="s">
        <v>50</v>
      </c>
      <c r="D954" s="6" t="s">
        <v>51</v>
      </c>
      <c r="E954" s="7">
        <v>45442</v>
      </c>
      <c r="F954" s="8">
        <v>4000000</v>
      </c>
      <c r="G954" s="8">
        <v>0</v>
      </c>
      <c r="H954" s="6">
        <v>32</v>
      </c>
      <c r="I954" s="6" t="s">
        <v>968</v>
      </c>
      <c r="J954" s="6" t="s">
        <v>969</v>
      </c>
    </row>
    <row r="955" spans="1:10" ht="150" x14ac:dyDescent="0.25">
      <c r="A955" s="6" t="str">
        <f>HYPERLINK("https://grants.gov/search-results-detail/352890","O-BJA-2024-172028")</f>
        <v>O-BJA-2024-172028</v>
      </c>
      <c r="B955" s="6" t="s">
        <v>1668</v>
      </c>
      <c r="C955" s="6" t="s">
        <v>50</v>
      </c>
      <c r="D955" s="6" t="s">
        <v>51</v>
      </c>
      <c r="E955" s="7">
        <v>45447</v>
      </c>
      <c r="F955" s="8">
        <v>2000000</v>
      </c>
      <c r="G955" s="8">
        <v>0</v>
      </c>
      <c r="H955" s="6">
        <v>13</v>
      </c>
      <c r="I955" s="6" t="s">
        <v>1669</v>
      </c>
      <c r="J955" s="6" t="s">
        <v>1670</v>
      </c>
    </row>
    <row r="956" spans="1:10" ht="150" x14ac:dyDescent="0.25">
      <c r="A956" s="6" t="str">
        <f>HYPERLINK("https://grants.gov/search-results-detail/353589","O-BJA-2024-172090")</f>
        <v>O-BJA-2024-172090</v>
      </c>
      <c r="B956" s="6" t="s">
        <v>510</v>
      </c>
      <c r="C956" s="6" t="s">
        <v>50</v>
      </c>
      <c r="D956" s="6" t="s">
        <v>51</v>
      </c>
      <c r="E956" s="7">
        <v>45455</v>
      </c>
      <c r="F956" s="8">
        <v>2000000</v>
      </c>
      <c r="G956" s="8">
        <v>0</v>
      </c>
      <c r="H956" s="6">
        <v>79</v>
      </c>
      <c r="I956" s="6" t="s">
        <v>511</v>
      </c>
      <c r="J956" s="6" t="s">
        <v>512</v>
      </c>
    </row>
    <row r="957" spans="1:10" ht="180" x14ac:dyDescent="0.25">
      <c r="A957" s="6" t="str">
        <f>HYPERLINK("https://grants.gov/search-results-detail/353543","O-BJA-2024-172080")</f>
        <v>O-BJA-2024-172080</v>
      </c>
      <c r="B957" s="6" t="s">
        <v>577</v>
      </c>
      <c r="C957" s="6" t="s">
        <v>50</v>
      </c>
      <c r="D957" s="6" t="s">
        <v>51</v>
      </c>
      <c r="E957" s="7">
        <v>45455</v>
      </c>
      <c r="F957" s="8">
        <v>375000</v>
      </c>
      <c r="G957" s="8">
        <v>0</v>
      </c>
      <c r="H957" s="6">
        <v>6</v>
      </c>
      <c r="I957" s="6" t="s">
        <v>578</v>
      </c>
      <c r="J957" s="6" t="s">
        <v>579</v>
      </c>
    </row>
    <row r="958" spans="1:10" ht="195" x14ac:dyDescent="0.25">
      <c r="A958" s="6" t="str">
        <f>HYPERLINK("https://grants.gov/search-results-detail/353062","O-BJA-2024-172047")</f>
        <v>O-BJA-2024-172047</v>
      </c>
      <c r="B958" s="6" t="s">
        <v>1479</v>
      </c>
      <c r="C958" s="6" t="s">
        <v>50</v>
      </c>
      <c r="D958" s="6" t="s">
        <v>51</v>
      </c>
      <c r="E958" s="7">
        <v>45456</v>
      </c>
      <c r="F958" s="8">
        <v>2500000</v>
      </c>
      <c r="G958" s="8">
        <v>0</v>
      </c>
      <c r="H958" s="6">
        <v>1</v>
      </c>
      <c r="I958" s="6" t="s">
        <v>8</v>
      </c>
      <c r="J958" s="6" t="s">
        <v>1480</v>
      </c>
    </row>
    <row r="959" spans="1:10" ht="285" x14ac:dyDescent="0.25">
      <c r="A959" s="6" t="str">
        <f>HYPERLINK("https://grants.gov/search-results-detail/353713","O-BJA-2024-172098")</f>
        <v>O-BJA-2024-172098</v>
      </c>
      <c r="B959" s="6" t="s">
        <v>318</v>
      </c>
      <c r="C959" s="6" t="s">
        <v>50</v>
      </c>
      <c r="D959" s="6" t="s">
        <v>51</v>
      </c>
      <c r="E959" s="7">
        <v>45463</v>
      </c>
      <c r="F959" s="8">
        <v>2500000</v>
      </c>
      <c r="G959" s="8">
        <v>0</v>
      </c>
      <c r="H959" s="6">
        <v>17</v>
      </c>
      <c r="I959" s="6" t="s">
        <v>319</v>
      </c>
      <c r="J959" s="6" t="s">
        <v>320</v>
      </c>
    </row>
    <row r="960" spans="1:10" ht="135" x14ac:dyDescent="0.25">
      <c r="A960" s="6" t="str">
        <f>HYPERLINK("https://grants.gov/search-results-detail/353896","O-BJA-2024-172116")</f>
        <v>O-BJA-2024-172116</v>
      </c>
      <c r="B960" s="6" t="s">
        <v>49</v>
      </c>
      <c r="C960" s="6" t="s">
        <v>50</v>
      </c>
      <c r="D960" s="6" t="s">
        <v>51</v>
      </c>
      <c r="E960" s="7">
        <v>45467</v>
      </c>
      <c r="F960" s="8">
        <v>900000</v>
      </c>
      <c r="G960" s="8">
        <v>0</v>
      </c>
      <c r="H960" s="6">
        <v>10</v>
      </c>
      <c r="I960" s="6" t="s">
        <v>52</v>
      </c>
      <c r="J960" s="6" t="s">
        <v>53</v>
      </c>
    </row>
    <row r="961" spans="1:10" ht="165" x14ac:dyDescent="0.25">
      <c r="A961" s="6" t="str">
        <f>HYPERLINK("https://grants.gov/search-results-detail/353810","O-BJA-2024-172097")</f>
        <v>O-BJA-2024-172097</v>
      </c>
      <c r="B961" s="6" t="s">
        <v>223</v>
      </c>
      <c r="C961" s="6" t="s">
        <v>50</v>
      </c>
      <c r="D961" s="6" t="s">
        <v>51</v>
      </c>
      <c r="E961" s="7">
        <v>45491</v>
      </c>
      <c r="F961" s="8">
        <v>2000000</v>
      </c>
      <c r="G961" s="8">
        <v>0</v>
      </c>
      <c r="H961" s="6">
        <v>15</v>
      </c>
      <c r="I961" s="6" t="s">
        <v>224</v>
      </c>
      <c r="J961" s="6" t="s">
        <v>225</v>
      </c>
    </row>
    <row r="962" spans="1:10" ht="285" x14ac:dyDescent="0.25">
      <c r="A962" s="6" t="str">
        <f>HYPERLINK("https://grants.gov/search-results-detail/353516","O-BJS-2024-172077")</f>
        <v>O-BJS-2024-172077</v>
      </c>
      <c r="B962" s="6" t="s">
        <v>688</v>
      </c>
      <c r="C962" s="6" t="s">
        <v>689</v>
      </c>
      <c r="D962" s="6" t="s">
        <v>690</v>
      </c>
      <c r="E962" s="7">
        <v>45456</v>
      </c>
      <c r="F962" s="8">
        <v>1500000</v>
      </c>
      <c r="G962" s="8">
        <v>750000</v>
      </c>
      <c r="H962" s="6">
        <v>1</v>
      </c>
      <c r="I962" s="6" t="s">
        <v>116</v>
      </c>
      <c r="J962" s="6" t="s">
        <v>691</v>
      </c>
    </row>
    <row r="963" spans="1:10" ht="409.5" x14ac:dyDescent="0.25">
      <c r="A963" s="6" t="str">
        <f>HYPERLINK("https://grants.gov/search-results-detail/352878","O-COPS-2024-172003")</f>
        <v>O-COPS-2024-172003</v>
      </c>
      <c r="B963" s="6" t="s">
        <v>1697</v>
      </c>
      <c r="C963" s="6" t="s">
        <v>45</v>
      </c>
      <c r="D963" s="6" t="s">
        <v>46</v>
      </c>
      <c r="E963" s="7">
        <v>45427</v>
      </c>
      <c r="F963" s="8">
        <v>300000</v>
      </c>
      <c r="G963" s="8">
        <v>0</v>
      </c>
      <c r="H963" s="6">
        <v>1</v>
      </c>
      <c r="I963" s="6" t="s">
        <v>1698</v>
      </c>
      <c r="J963" s="6" t="s">
        <v>1699</v>
      </c>
    </row>
    <row r="964" spans="1:10" ht="375" x14ac:dyDescent="0.25">
      <c r="A964" s="6" t="str">
        <f>HYPERLINK("https://grants.gov/search-results-detail/353272","O-COPS-2024-172057")</f>
        <v>O-COPS-2024-172057</v>
      </c>
      <c r="B964" s="6" t="s">
        <v>1135</v>
      </c>
      <c r="C964" s="6" t="s">
        <v>45</v>
      </c>
      <c r="D964" s="6" t="s">
        <v>46</v>
      </c>
      <c r="E964" s="7">
        <v>45433</v>
      </c>
      <c r="F964" s="8">
        <v>500000</v>
      </c>
      <c r="G964" s="8">
        <v>0</v>
      </c>
      <c r="H964" s="6">
        <v>3</v>
      </c>
      <c r="I964" s="6" t="s">
        <v>1136</v>
      </c>
      <c r="J964" s="6" t="s">
        <v>1137</v>
      </c>
    </row>
    <row r="965" spans="1:10" ht="390" x14ac:dyDescent="0.25">
      <c r="A965" s="6" t="str">
        <f>HYPERLINK("https://grants.gov/search-results-detail/353270","O-COPS-2024-172056")</f>
        <v>O-COPS-2024-172056</v>
      </c>
      <c r="B965" s="6" t="s">
        <v>1138</v>
      </c>
      <c r="C965" s="6" t="s">
        <v>45</v>
      </c>
      <c r="D965" s="6" t="s">
        <v>46</v>
      </c>
      <c r="E965" s="7">
        <v>45433</v>
      </c>
      <c r="F965" s="8">
        <v>300000</v>
      </c>
      <c r="G965" s="8">
        <v>0</v>
      </c>
      <c r="H965" s="6">
        <v>8</v>
      </c>
      <c r="I965" s="6" t="s">
        <v>1139</v>
      </c>
      <c r="J965" s="6" t="s">
        <v>1140</v>
      </c>
    </row>
    <row r="966" spans="1:10" ht="405" x14ac:dyDescent="0.25">
      <c r="A966" s="6" t="str">
        <f>HYPERLINK("https://grants.gov/search-results-detail/353271","O-COPS-2024-172058")</f>
        <v>O-COPS-2024-172058</v>
      </c>
      <c r="B966" s="6" t="s">
        <v>1141</v>
      </c>
      <c r="C966" s="6" t="s">
        <v>45</v>
      </c>
      <c r="D966" s="6" t="s">
        <v>46</v>
      </c>
      <c r="E966" s="7">
        <v>45433</v>
      </c>
      <c r="F966" s="8">
        <v>250000</v>
      </c>
      <c r="G966" s="8">
        <v>0</v>
      </c>
      <c r="H966" s="6">
        <v>10</v>
      </c>
      <c r="I966" s="6" t="s">
        <v>1142</v>
      </c>
      <c r="J966" s="6" t="s">
        <v>1143</v>
      </c>
    </row>
    <row r="967" spans="1:10" ht="409.5" x14ac:dyDescent="0.25">
      <c r="A967" s="6" t="str">
        <f>HYPERLINK("https://grants.gov/search-results-detail/353499","O-COPS-2024-172066")</f>
        <v>O-COPS-2024-172066</v>
      </c>
      <c r="B967" s="6" t="s">
        <v>718</v>
      </c>
      <c r="C967" s="6" t="s">
        <v>45</v>
      </c>
      <c r="D967" s="6" t="s">
        <v>46</v>
      </c>
      <c r="E967" s="7">
        <v>45440</v>
      </c>
      <c r="F967" s="8">
        <v>500000</v>
      </c>
      <c r="G967" s="8">
        <v>0</v>
      </c>
      <c r="H967" s="6">
        <v>10</v>
      </c>
      <c r="I967" s="6" t="s">
        <v>719</v>
      </c>
      <c r="J967" s="6" t="s">
        <v>720</v>
      </c>
    </row>
    <row r="968" spans="1:10" ht="300" x14ac:dyDescent="0.25">
      <c r="A968" s="6" t="str">
        <f>HYPERLINK("https://grants.gov/search-results-detail/353496","O-COPS-2024-172067")</f>
        <v>O-COPS-2024-172067</v>
      </c>
      <c r="B968" s="6" t="s">
        <v>735</v>
      </c>
      <c r="C968" s="6" t="s">
        <v>45</v>
      </c>
      <c r="D968" s="6" t="s">
        <v>46</v>
      </c>
      <c r="E968" s="7">
        <v>45440</v>
      </c>
      <c r="F968" s="8">
        <v>10958667</v>
      </c>
      <c r="G968" s="8">
        <v>0</v>
      </c>
      <c r="H968" s="6">
        <v>4</v>
      </c>
      <c r="I968" s="6" t="s">
        <v>736</v>
      </c>
      <c r="J968" s="6" t="s">
        <v>737</v>
      </c>
    </row>
    <row r="969" spans="1:10" ht="409.5" x14ac:dyDescent="0.25">
      <c r="A969" s="6" t="str">
        <f>HYPERLINK("https://grants.gov/search-results-detail/353501","O-COPS-2024-172009")</f>
        <v>O-COPS-2024-172009</v>
      </c>
      <c r="B969" s="6" t="s">
        <v>724</v>
      </c>
      <c r="C969" s="6" t="s">
        <v>45</v>
      </c>
      <c r="D969" s="6" t="s">
        <v>46</v>
      </c>
      <c r="E969" s="7">
        <v>45449</v>
      </c>
      <c r="F969" s="8">
        <v>6250000</v>
      </c>
      <c r="G969" s="8">
        <v>0</v>
      </c>
      <c r="H969" s="6">
        <v>250</v>
      </c>
      <c r="I969" s="6" t="s">
        <v>725</v>
      </c>
      <c r="J969" s="6" t="s">
        <v>726</v>
      </c>
    </row>
    <row r="970" spans="1:10" ht="409.5" x14ac:dyDescent="0.25">
      <c r="A970" s="6" t="str">
        <f>HYPERLINK("https://grants.gov/search-results-detail/353564","O-COPS-2024-171980")</f>
        <v>O-COPS-2024-171980</v>
      </c>
      <c r="B970" s="6" t="s">
        <v>574</v>
      </c>
      <c r="C970" s="6" t="s">
        <v>45</v>
      </c>
      <c r="D970" s="6" t="s">
        <v>46</v>
      </c>
      <c r="E970" s="7">
        <v>45454</v>
      </c>
      <c r="F970" s="8">
        <v>500000</v>
      </c>
      <c r="G970" s="8">
        <v>0</v>
      </c>
      <c r="H970" s="6">
        <v>206</v>
      </c>
      <c r="I970" s="6" t="s">
        <v>575</v>
      </c>
      <c r="J970" s="6" t="s">
        <v>576</v>
      </c>
    </row>
    <row r="971" spans="1:10" ht="409.5" x14ac:dyDescent="0.25">
      <c r="A971" s="6" t="str">
        <f>HYPERLINK("https://grants.gov/search-results-detail/353721","O-COPS-2024-171983")</f>
        <v>O-COPS-2024-171983</v>
      </c>
      <c r="B971" s="6" t="s">
        <v>332</v>
      </c>
      <c r="C971" s="6" t="s">
        <v>45</v>
      </c>
      <c r="D971" s="6" t="s">
        <v>46</v>
      </c>
      <c r="E971" s="7">
        <v>45463</v>
      </c>
      <c r="F971" s="8">
        <v>2000000</v>
      </c>
      <c r="G971" s="8">
        <v>1000000</v>
      </c>
      <c r="H971" s="6">
        <v>12</v>
      </c>
      <c r="I971" s="6" t="s">
        <v>333</v>
      </c>
      <c r="J971" s="6" t="s">
        <v>334</v>
      </c>
    </row>
    <row r="972" spans="1:10" ht="409.5" x14ac:dyDescent="0.25">
      <c r="A972" s="6" t="str">
        <f>HYPERLINK("https://grants.gov/search-results-detail/353722","O-COPS-2024-171982")</f>
        <v>O-COPS-2024-171982</v>
      </c>
      <c r="B972" s="6" t="s">
        <v>343</v>
      </c>
      <c r="C972" s="6" t="s">
        <v>45</v>
      </c>
      <c r="D972" s="6" t="s">
        <v>46</v>
      </c>
      <c r="E972" s="7">
        <v>45463</v>
      </c>
      <c r="F972" s="8">
        <v>4000000</v>
      </c>
      <c r="G972" s="8">
        <v>0</v>
      </c>
      <c r="H972" s="6">
        <v>15</v>
      </c>
      <c r="I972" s="6" t="s">
        <v>344</v>
      </c>
      <c r="J972" s="6" t="s">
        <v>345</v>
      </c>
    </row>
    <row r="973" spans="1:10" ht="409.5" x14ac:dyDescent="0.25">
      <c r="A973" s="6" t="str">
        <f>HYPERLINK("https://grants.gov/search-results-detail/353893","O-COPS-2024-172089")</f>
        <v>O-COPS-2024-172089</v>
      </c>
      <c r="B973" s="6" t="s">
        <v>44</v>
      </c>
      <c r="C973" s="6" t="s">
        <v>45</v>
      </c>
      <c r="D973" s="6" t="s">
        <v>46</v>
      </c>
      <c r="E973" s="7">
        <v>45468</v>
      </c>
      <c r="F973" s="8">
        <v>4878000</v>
      </c>
      <c r="G973" s="8">
        <v>0</v>
      </c>
      <c r="H973" s="6">
        <v>311</v>
      </c>
      <c r="I973" s="6" t="s">
        <v>47</v>
      </c>
      <c r="J973" s="6" t="s">
        <v>48</v>
      </c>
    </row>
    <row r="974" spans="1:10" ht="165" x14ac:dyDescent="0.25">
      <c r="A974" s="6" t="str">
        <f>HYPERLINK("https://grants.gov/search-results-detail/352861","O-NIJ-2024-172018")</f>
        <v>O-NIJ-2024-172018</v>
      </c>
      <c r="B974" s="6" t="s">
        <v>1703</v>
      </c>
      <c r="C974" s="6" t="s">
        <v>211</v>
      </c>
      <c r="D974" s="6" t="s">
        <v>212</v>
      </c>
      <c r="E974" s="7">
        <v>45428</v>
      </c>
      <c r="F974" s="8">
        <v>2000000</v>
      </c>
      <c r="G974" s="8">
        <v>0</v>
      </c>
      <c r="H974" s="6">
        <v>7</v>
      </c>
      <c r="I974" s="6" t="s">
        <v>1002</v>
      </c>
      <c r="J974" s="6" t="s">
        <v>1704</v>
      </c>
    </row>
    <row r="975" spans="1:10" ht="405" x14ac:dyDescent="0.25">
      <c r="A975" s="6" t="str">
        <f>HYPERLINK("https://grants.gov/search-results-detail/353807","O-NIJ-2024-172109")</f>
        <v>O-NIJ-2024-172109</v>
      </c>
      <c r="B975" s="6" t="s">
        <v>210</v>
      </c>
      <c r="C975" s="6" t="s">
        <v>211</v>
      </c>
      <c r="D975" s="6" t="s">
        <v>212</v>
      </c>
      <c r="E975" s="7">
        <v>45435</v>
      </c>
      <c r="F975" s="8">
        <v>963000</v>
      </c>
      <c r="G975" s="8">
        <v>0</v>
      </c>
      <c r="H975" s="6">
        <v>1</v>
      </c>
      <c r="I975" s="6" t="s">
        <v>213</v>
      </c>
      <c r="J975" s="6" t="s">
        <v>214</v>
      </c>
    </row>
    <row r="976" spans="1:10" ht="240" x14ac:dyDescent="0.25">
      <c r="A976" s="6" t="str">
        <f>HYPERLINK("https://grants.gov/search-results-detail/352864","O-NIJ-2024-172022")</f>
        <v>O-NIJ-2024-172022</v>
      </c>
      <c r="B976" s="6" t="s">
        <v>1705</v>
      </c>
      <c r="C976" s="6" t="s">
        <v>211</v>
      </c>
      <c r="D976" s="6" t="s">
        <v>212</v>
      </c>
      <c r="E976" s="7">
        <v>45435</v>
      </c>
      <c r="F976" s="8">
        <v>2000000</v>
      </c>
      <c r="G976" s="8">
        <v>0</v>
      </c>
      <c r="H976" s="6">
        <v>6</v>
      </c>
      <c r="I976" s="6" t="s">
        <v>1706</v>
      </c>
      <c r="J976" s="6" t="s">
        <v>1707</v>
      </c>
    </row>
    <row r="977" spans="1:10" ht="90" x14ac:dyDescent="0.25">
      <c r="A977" s="6" t="str">
        <f>HYPERLINK("https://grants.gov/search-results-detail/352811","O-NIJ-2024-172011")</f>
        <v>O-NIJ-2024-172011</v>
      </c>
      <c r="B977" s="6" t="s">
        <v>1732</v>
      </c>
      <c r="C977" s="6" t="s">
        <v>211</v>
      </c>
      <c r="D977" s="6" t="s">
        <v>212</v>
      </c>
      <c r="E977" s="7">
        <v>45435</v>
      </c>
      <c r="F977" s="8">
        <v>3500000</v>
      </c>
      <c r="G977" s="8">
        <v>0</v>
      </c>
      <c r="H977" s="6">
        <v>5</v>
      </c>
      <c r="I977" s="6" t="s">
        <v>1002</v>
      </c>
      <c r="J977" s="6" t="s">
        <v>1733</v>
      </c>
    </row>
    <row r="978" spans="1:10" ht="315" x14ac:dyDescent="0.25">
      <c r="A978" s="6" t="str">
        <f>HYPERLINK("https://grants.gov/search-results-detail/353339","O-NIJ-2024-172070")</f>
        <v>O-NIJ-2024-172070</v>
      </c>
      <c r="B978" s="6" t="s">
        <v>1038</v>
      </c>
      <c r="C978" s="6" t="s">
        <v>211</v>
      </c>
      <c r="D978" s="6" t="s">
        <v>212</v>
      </c>
      <c r="E978" s="7">
        <v>45460</v>
      </c>
      <c r="F978" s="8">
        <v>3750000</v>
      </c>
      <c r="G978" s="8">
        <v>0</v>
      </c>
      <c r="H978" s="6">
        <v>15</v>
      </c>
      <c r="I978" s="6" t="s">
        <v>1039</v>
      </c>
      <c r="J978" s="6" t="s">
        <v>1040</v>
      </c>
    </row>
    <row r="979" spans="1:10" ht="150" x14ac:dyDescent="0.25">
      <c r="A979" s="6" t="str">
        <f>HYPERLINK("https://grants.gov/search-results-detail/353370","O-NIJ-2024-172060")</f>
        <v>O-NIJ-2024-172060</v>
      </c>
      <c r="B979" s="6" t="s">
        <v>1001</v>
      </c>
      <c r="C979" s="6" t="s">
        <v>211</v>
      </c>
      <c r="D979" s="6" t="s">
        <v>212</v>
      </c>
      <c r="E979" s="7">
        <v>45461</v>
      </c>
      <c r="F979" s="8">
        <v>5000000</v>
      </c>
      <c r="G979" s="8">
        <v>0</v>
      </c>
      <c r="I979" s="6" t="s">
        <v>1002</v>
      </c>
      <c r="J979" s="6" t="s">
        <v>1003</v>
      </c>
    </row>
    <row r="980" spans="1:10" ht="225" x14ac:dyDescent="0.25">
      <c r="A980" s="6" t="str">
        <f>HYPERLINK("https://grants.gov/search-results-detail/353375","O-OJJDP-2024-172072")</f>
        <v>O-OJJDP-2024-172072</v>
      </c>
      <c r="B980" s="6" t="s">
        <v>1004</v>
      </c>
      <c r="C980" s="6" t="s">
        <v>27</v>
      </c>
      <c r="D980" s="6" t="s">
        <v>28</v>
      </c>
      <c r="E980" s="7">
        <v>45435</v>
      </c>
      <c r="F980" s="8">
        <v>50000</v>
      </c>
      <c r="G980" s="8">
        <v>0</v>
      </c>
      <c r="H980" s="6">
        <v>4</v>
      </c>
      <c r="I980" s="6" t="s">
        <v>1005</v>
      </c>
      <c r="J980" s="6" t="s">
        <v>1006</v>
      </c>
    </row>
    <row r="981" spans="1:10" ht="180" x14ac:dyDescent="0.25">
      <c r="A981" s="6" t="str">
        <f>HYPERLINK("https://grants.gov/search-results-detail/353313","O-OJJDP-2024-172020")</f>
        <v>O-OJJDP-2024-172020</v>
      </c>
      <c r="B981" s="6" t="s">
        <v>1097</v>
      </c>
      <c r="C981" s="6" t="s">
        <v>27</v>
      </c>
      <c r="D981" s="6" t="s">
        <v>28</v>
      </c>
      <c r="E981" s="7">
        <v>45435</v>
      </c>
      <c r="F981" s="8">
        <v>2000000</v>
      </c>
      <c r="G981" s="8">
        <v>0</v>
      </c>
      <c r="H981" s="6">
        <v>14</v>
      </c>
      <c r="I981" s="6" t="s">
        <v>1098</v>
      </c>
      <c r="J981" s="6" t="s">
        <v>1099</v>
      </c>
    </row>
    <row r="982" spans="1:10" ht="225" x14ac:dyDescent="0.25">
      <c r="A982" s="6" t="str">
        <f>HYPERLINK("https://grants.gov/search-results-detail/353750","O-OJJDP-2024-172105")</f>
        <v>O-OJJDP-2024-172105</v>
      </c>
      <c r="B982" s="6" t="s">
        <v>278</v>
      </c>
      <c r="C982" s="6" t="s">
        <v>27</v>
      </c>
      <c r="D982" s="6" t="s">
        <v>28</v>
      </c>
      <c r="E982" s="7">
        <v>45440</v>
      </c>
      <c r="F982" s="8">
        <v>1961000</v>
      </c>
      <c r="G982" s="8">
        <v>0</v>
      </c>
      <c r="H982" s="6">
        <v>52</v>
      </c>
      <c r="I982" s="6" t="s">
        <v>279</v>
      </c>
      <c r="J982" s="6" t="s">
        <v>280</v>
      </c>
    </row>
    <row r="983" spans="1:10" ht="105" x14ac:dyDescent="0.25">
      <c r="A983" s="6" t="str">
        <f>HYPERLINK("https://grants.gov/search-results-detail/353467","O-OJJDP-2024-172075")</f>
        <v>O-OJJDP-2024-172075</v>
      </c>
      <c r="B983" s="6" t="s">
        <v>783</v>
      </c>
      <c r="C983" s="6" t="s">
        <v>27</v>
      </c>
      <c r="D983" s="6" t="s">
        <v>28</v>
      </c>
      <c r="E983" s="7">
        <v>45440</v>
      </c>
      <c r="F983" s="8">
        <v>1500000</v>
      </c>
      <c r="G983" s="8">
        <v>0</v>
      </c>
      <c r="H983" s="6">
        <v>3</v>
      </c>
      <c r="I983" s="6" t="s">
        <v>116</v>
      </c>
      <c r="J983" s="6" t="s">
        <v>784</v>
      </c>
    </row>
    <row r="984" spans="1:10" ht="120" x14ac:dyDescent="0.25">
      <c r="A984" s="6" t="str">
        <f>HYPERLINK("https://grants.gov/search-results-detail/353498","O-OJJDP-2024-172073")</f>
        <v>O-OJJDP-2024-172073</v>
      </c>
      <c r="B984" s="6" t="s">
        <v>808</v>
      </c>
      <c r="C984" s="6" t="s">
        <v>27</v>
      </c>
      <c r="D984" s="6" t="s">
        <v>28</v>
      </c>
      <c r="E984" s="7">
        <v>45440</v>
      </c>
      <c r="F984" s="8">
        <v>1000000</v>
      </c>
      <c r="G984" s="8">
        <v>0</v>
      </c>
      <c r="H984" s="6">
        <v>5</v>
      </c>
      <c r="I984" s="6" t="s">
        <v>809</v>
      </c>
      <c r="J984" s="6" t="s">
        <v>810</v>
      </c>
    </row>
    <row r="985" spans="1:10" ht="180" x14ac:dyDescent="0.25">
      <c r="A985" s="6" t="str">
        <f>HYPERLINK("https://grants.gov/search-results-detail/353805","O-OJJDP-2024-172084")</f>
        <v>O-OJJDP-2024-172084</v>
      </c>
      <c r="B985" s="6" t="s">
        <v>198</v>
      </c>
      <c r="C985" s="6" t="s">
        <v>27</v>
      </c>
      <c r="D985" s="6" t="s">
        <v>28</v>
      </c>
      <c r="E985" s="7">
        <v>45453</v>
      </c>
      <c r="F985" s="8">
        <v>1000000</v>
      </c>
      <c r="G985" s="8">
        <v>0</v>
      </c>
      <c r="H985" s="6">
        <v>23</v>
      </c>
      <c r="I985" s="6" t="s">
        <v>199</v>
      </c>
      <c r="J985" s="6" t="s">
        <v>200</v>
      </c>
    </row>
    <row r="986" spans="1:10" ht="120" x14ac:dyDescent="0.25">
      <c r="A986" s="6" t="str">
        <f>HYPERLINK("https://grants.gov/search-results-detail/353681","O-OJJDP-2024-172086")</f>
        <v>O-OJJDP-2024-172086</v>
      </c>
      <c r="B986" s="6" t="s">
        <v>392</v>
      </c>
      <c r="C986" s="6" t="s">
        <v>27</v>
      </c>
      <c r="D986" s="6" t="s">
        <v>28</v>
      </c>
      <c r="E986" s="7">
        <v>45453</v>
      </c>
      <c r="F986" s="8">
        <v>3200000</v>
      </c>
      <c r="G986" s="8">
        <v>0</v>
      </c>
      <c r="H986" s="6">
        <v>1</v>
      </c>
      <c r="I986" s="6" t="s">
        <v>24</v>
      </c>
      <c r="J986" s="6" t="s">
        <v>393</v>
      </c>
    </row>
    <row r="987" spans="1:10" ht="135" x14ac:dyDescent="0.25">
      <c r="A987" s="6" t="str">
        <f>HYPERLINK("https://grants.gov/search-results-detail/353683","O-OJJDP-2024-172082")</f>
        <v>O-OJJDP-2024-172082</v>
      </c>
      <c r="B987" s="6" t="s">
        <v>404</v>
      </c>
      <c r="C987" s="6" t="s">
        <v>27</v>
      </c>
      <c r="D987" s="6" t="s">
        <v>28</v>
      </c>
      <c r="E987" s="7">
        <v>45453</v>
      </c>
      <c r="F987" s="8">
        <v>4500000</v>
      </c>
      <c r="G987" s="8">
        <v>0</v>
      </c>
      <c r="H987" s="6">
        <v>1</v>
      </c>
      <c r="I987" s="6" t="s">
        <v>405</v>
      </c>
      <c r="J987" s="6" t="s">
        <v>406</v>
      </c>
    </row>
    <row r="988" spans="1:10" ht="210" x14ac:dyDescent="0.25">
      <c r="A988" s="6" t="str">
        <f>HYPERLINK("https://grants.gov/search-results-detail/353885","O-OJJDP-2024-172115")</f>
        <v>O-OJJDP-2024-172115</v>
      </c>
      <c r="B988" s="6" t="s">
        <v>26</v>
      </c>
      <c r="C988" s="6" t="s">
        <v>27</v>
      </c>
      <c r="D988" s="6" t="s">
        <v>28</v>
      </c>
      <c r="E988" s="7">
        <v>45461</v>
      </c>
      <c r="F988" s="8">
        <v>650000</v>
      </c>
      <c r="G988" s="8">
        <v>0</v>
      </c>
      <c r="H988" s="6">
        <v>6</v>
      </c>
      <c r="I988" s="6" t="s">
        <v>29</v>
      </c>
      <c r="J988" s="6" t="s">
        <v>30</v>
      </c>
    </row>
    <row r="989" spans="1:10" ht="150" x14ac:dyDescent="0.25">
      <c r="A989" s="6" t="str">
        <f>HYPERLINK("https://grants.gov/search-results-detail/353856","O-OJJDP-2024-172112")</f>
        <v>O-OJJDP-2024-172112</v>
      </c>
      <c r="B989" s="6" t="s">
        <v>115</v>
      </c>
      <c r="C989" s="6" t="s">
        <v>27</v>
      </c>
      <c r="D989" s="6" t="s">
        <v>28</v>
      </c>
      <c r="E989" s="7">
        <v>45461</v>
      </c>
      <c r="F989" s="8">
        <v>26000000</v>
      </c>
      <c r="G989" s="8">
        <v>1000000</v>
      </c>
      <c r="H989" s="6">
        <v>3</v>
      </c>
      <c r="I989" s="6" t="s">
        <v>116</v>
      </c>
      <c r="J989" s="6" t="s">
        <v>117</v>
      </c>
    </row>
    <row r="990" spans="1:10" ht="409.5" x14ac:dyDescent="0.25">
      <c r="A990" s="6" t="str">
        <f>HYPERLINK("https://grants.gov/search-results-detail/353251","O-OVC-2024-172052")</f>
        <v>O-OVC-2024-172052</v>
      </c>
      <c r="B990" s="6" t="s">
        <v>1200</v>
      </c>
      <c r="C990" s="6" t="s">
        <v>22</v>
      </c>
      <c r="D990" s="6" t="s">
        <v>23</v>
      </c>
      <c r="E990" s="7">
        <v>45433</v>
      </c>
      <c r="F990" s="8">
        <v>0</v>
      </c>
      <c r="G990" s="8">
        <v>0</v>
      </c>
      <c r="H990" s="6">
        <v>54</v>
      </c>
      <c r="I990" s="6" t="s">
        <v>1201</v>
      </c>
      <c r="J990" s="6" t="s">
        <v>1202</v>
      </c>
    </row>
    <row r="991" spans="1:10" ht="345" x14ac:dyDescent="0.25">
      <c r="A991" s="6" t="str">
        <f>HYPERLINK("https://grants.gov/search-results-detail/353250","O-OVC-2024-172059")</f>
        <v>O-OVC-2024-172059</v>
      </c>
      <c r="B991" s="6" t="s">
        <v>1203</v>
      </c>
      <c r="C991" s="6" t="s">
        <v>22</v>
      </c>
      <c r="D991" s="6" t="s">
        <v>23</v>
      </c>
      <c r="E991" s="7">
        <v>45433</v>
      </c>
      <c r="F991" s="8">
        <v>0</v>
      </c>
      <c r="G991" s="8">
        <v>0</v>
      </c>
      <c r="H991" s="6">
        <v>56</v>
      </c>
      <c r="I991" s="6" t="s">
        <v>1201</v>
      </c>
      <c r="J991" s="6" t="s">
        <v>1204</v>
      </c>
    </row>
    <row r="992" spans="1:10" ht="360" x14ac:dyDescent="0.25">
      <c r="A992" s="6" t="str">
        <f>HYPERLINK("https://grants.gov/search-results-detail/353892","O-OVC-2024-172107")</f>
        <v>O-OVC-2024-172107</v>
      </c>
      <c r="B992" s="6" t="s">
        <v>41</v>
      </c>
      <c r="C992" s="6" t="s">
        <v>22</v>
      </c>
      <c r="D992" s="6" t="s">
        <v>23</v>
      </c>
      <c r="E992" s="7">
        <v>45435</v>
      </c>
      <c r="F992" s="8">
        <v>4000000</v>
      </c>
      <c r="G992" s="8">
        <v>0</v>
      </c>
      <c r="H992" s="6">
        <v>1</v>
      </c>
      <c r="I992" s="6" t="s">
        <v>42</v>
      </c>
      <c r="J992" s="6" t="s">
        <v>43</v>
      </c>
    </row>
    <row r="993" spans="1:10" ht="285" x14ac:dyDescent="0.25">
      <c r="A993" s="6" t="str">
        <f>HYPERLINK("https://grants.gov/search-results-detail/353784","O-OVC-2024-172106")</f>
        <v>O-OVC-2024-172106</v>
      </c>
      <c r="B993" s="6" t="s">
        <v>207</v>
      </c>
      <c r="C993" s="6" t="s">
        <v>22</v>
      </c>
      <c r="D993" s="6" t="s">
        <v>23</v>
      </c>
      <c r="E993" s="7">
        <v>45440</v>
      </c>
      <c r="F993" s="8">
        <v>4500000</v>
      </c>
      <c r="G993" s="8">
        <v>0</v>
      </c>
      <c r="H993" s="6">
        <v>377</v>
      </c>
      <c r="I993" s="6" t="s">
        <v>208</v>
      </c>
      <c r="J993" s="6" t="s">
        <v>209</v>
      </c>
    </row>
    <row r="994" spans="1:10" ht="300" x14ac:dyDescent="0.25">
      <c r="A994" s="6" t="str">
        <f>HYPERLINK("https://grants.gov/search-results-detail/353716","O-OVC-2024-172100")</f>
        <v>O-OVC-2024-172100</v>
      </c>
      <c r="B994" s="6" t="s">
        <v>329</v>
      </c>
      <c r="C994" s="6" t="s">
        <v>22</v>
      </c>
      <c r="D994" s="6" t="s">
        <v>23</v>
      </c>
      <c r="E994" s="7">
        <v>45457</v>
      </c>
      <c r="F994" s="8">
        <v>400000</v>
      </c>
      <c r="G994" s="8">
        <v>0</v>
      </c>
      <c r="I994" s="6" t="s">
        <v>330</v>
      </c>
      <c r="J994" s="6" t="s">
        <v>331</v>
      </c>
    </row>
    <row r="995" spans="1:10" ht="315" x14ac:dyDescent="0.25">
      <c r="A995" s="6" t="str">
        <f>HYPERLINK("https://grants.gov/search-results-detail/353891","O-OVC-2024-172114")</f>
        <v>O-OVC-2024-172114</v>
      </c>
      <c r="B995" s="6" t="s">
        <v>21</v>
      </c>
      <c r="C995" s="6" t="s">
        <v>22</v>
      </c>
      <c r="D995" s="6" t="s">
        <v>23</v>
      </c>
      <c r="E995" s="7">
        <v>45467</v>
      </c>
      <c r="F995" s="8">
        <v>1750000</v>
      </c>
      <c r="G995" s="8">
        <v>0</v>
      </c>
      <c r="H995" s="6">
        <v>1</v>
      </c>
      <c r="I995" s="6" t="s">
        <v>24</v>
      </c>
      <c r="J995" s="6" t="s">
        <v>25</v>
      </c>
    </row>
    <row r="996" spans="1:10" ht="195" x14ac:dyDescent="0.25">
      <c r="A996" s="6" t="str">
        <f>HYPERLINK("https://grants.gov/search-results-detail/353474","O-OVW-2024-171976")</f>
        <v>O-OVW-2024-171976</v>
      </c>
      <c r="B996" s="6" t="s">
        <v>811</v>
      </c>
      <c r="C996" s="6" t="s">
        <v>216</v>
      </c>
      <c r="D996" s="6" t="s">
        <v>217</v>
      </c>
      <c r="E996" s="7">
        <v>45428</v>
      </c>
      <c r="F996" s="8">
        <v>400000</v>
      </c>
      <c r="G996" s="8">
        <v>300000</v>
      </c>
      <c r="H996" s="6">
        <v>31</v>
      </c>
      <c r="I996" s="6" t="s">
        <v>812</v>
      </c>
      <c r="J996" s="6" t="s">
        <v>813</v>
      </c>
    </row>
    <row r="997" spans="1:10" ht="409.5" x14ac:dyDescent="0.25">
      <c r="A997" s="6" t="str">
        <f>HYPERLINK("https://grants.gov/search-results-detail/353132","O-OVW-2024-171907")</f>
        <v>O-OVW-2024-171907</v>
      </c>
      <c r="B997" s="6" t="s">
        <v>1350</v>
      </c>
      <c r="C997" s="6" t="s">
        <v>216</v>
      </c>
      <c r="D997" s="6" t="s">
        <v>217</v>
      </c>
      <c r="E997" s="7">
        <v>45429</v>
      </c>
      <c r="F997" s="8">
        <v>500000</v>
      </c>
      <c r="G997" s="8">
        <v>500000</v>
      </c>
      <c r="H997" s="6">
        <v>9</v>
      </c>
      <c r="I997" s="6" t="s">
        <v>1351</v>
      </c>
      <c r="J997" s="6" t="s">
        <v>1352</v>
      </c>
    </row>
    <row r="998" spans="1:10" ht="409.5" x14ac:dyDescent="0.25">
      <c r="A998" s="6" t="str">
        <f>HYPERLINK("https://grants.gov/search-results-detail/353808","O-OVW-2024-171956")</f>
        <v>O-OVW-2024-171956</v>
      </c>
      <c r="B998" s="6" t="s">
        <v>215</v>
      </c>
      <c r="C998" s="6" t="s">
        <v>216</v>
      </c>
      <c r="D998" s="6" t="s">
        <v>217</v>
      </c>
      <c r="E998" s="7">
        <v>45443</v>
      </c>
      <c r="F998" s="8">
        <v>500000</v>
      </c>
      <c r="G998" s="8">
        <v>450000</v>
      </c>
      <c r="H998" s="6">
        <v>25</v>
      </c>
      <c r="I998" s="6" t="s">
        <v>218</v>
      </c>
      <c r="J998" s="6" t="s">
        <v>219</v>
      </c>
    </row>
    <row r="999" spans="1:10" ht="150" x14ac:dyDescent="0.25">
      <c r="A999" s="6" t="str">
        <f>HYPERLINK("https://grants.gov/search-results-detail/353766","O-OVW-2024-172041")</f>
        <v>O-OVW-2024-172041</v>
      </c>
      <c r="B999" s="6" t="s">
        <v>290</v>
      </c>
      <c r="C999" s="6" t="s">
        <v>216</v>
      </c>
      <c r="D999" s="6" t="s">
        <v>217</v>
      </c>
      <c r="E999" s="7">
        <v>45446</v>
      </c>
      <c r="F999" s="8">
        <v>2065486</v>
      </c>
      <c r="G999" s="8">
        <v>256657</v>
      </c>
      <c r="H999" s="6">
        <v>56</v>
      </c>
      <c r="I999" s="6" t="s">
        <v>291</v>
      </c>
      <c r="J999" s="6" t="s">
        <v>292</v>
      </c>
    </row>
    <row r="1000" spans="1:10" ht="285" x14ac:dyDescent="0.25">
      <c r="A1000" s="6" t="str">
        <f>HYPERLINK("https://grants.gov/search-results-detail/353778","O-OVW-2024-171958")</f>
        <v>O-OVW-2024-171958</v>
      </c>
      <c r="B1000" s="6" t="s">
        <v>305</v>
      </c>
      <c r="C1000" s="6" t="s">
        <v>216</v>
      </c>
      <c r="D1000" s="6" t="s">
        <v>217</v>
      </c>
      <c r="E1000" s="7">
        <v>45447</v>
      </c>
      <c r="F1000" s="8">
        <v>750000</v>
      </c>
      <c r="G1000" s="8">
        <v>750000</v>
      </c>
      <c r="H1000" s="6">
        <v>2</v>
      </c>
      <c r="I1000" s="6" t="s">
        <v>306</v>
      </c>
      <c r="J1000" s="6" t="s">
        <v>307</v>
      </c>
    </row>
    <row r="1001" spans="1:10" ht="405" x14ac:dyDescent="0.25">
      <c r="A1001" s="6" t="str">
        <f>HYPERLINK("https://grants.gov/search-results-detail/353768","O-OVW-2024-172055")</f>
        <v>O-OVW-2024-172055</v>
      </c>
      <c r="B1001" s="6" t="s">
        <v>284</v>
      </c>
      <c r="C1001" s="6" t="s">
        <v>216</v>
      </c>
      <c r="D1001" s="6" t="s">
        <v>217</v>
      </c>
      <c r="E1001" s="7">
        <v>45453</v>
      </c>
      <c r="F1001" s="8">
        <v>1500000</v>
      </c>
      <c r="G1001" s="8">
        <v>1500000</v>
      </c>
      <c r="H1001" s="6">
        <v>5</v>
      </c>
      <c r="I1001" s="6" t="s">
        <v>285</v>
      </c>
      <c r="J1001" s="6" t="s">
        <v>286</v>
      </c>
    </row>
    <row r="1002" spans="1:10" ht="409.5" x14ac:dyDescent="0.25">
      <c r="A1002" s="6" t="str">
        <f>HYPERLINK("https://grants.gov/search-results-detail/353252","O-OVW-2024-171996")</f>
        <v>O-OVW-2024-171996</v>
      </c>
      <c r="B1002" s="6" t="s">
        <v>1198</v>
      </c>
      <c r="C1002" s="6" t="s">
        <v>216</v>
      </c>
      <c r="D1002" s="6" t="s">
        <v>217</v>
      </c>
      <c r="E1002" s="7">
        <v>45454</v>
      </c>
      <c r="F1002" s="8">
        <v>8000000</v>
      </c>
      <c r="G1002" s="8">
        <v>8000000</v>
      </c>
      <c r="H1002" s="6">
        <v>1</v>
      </c>
      <c r="I1002" s="6" t="s">
        <v>24</v>
      </c>
      <c r="J1002" s="6" t="s">
        <v>1199</v>
      </c>
    </row>
    <row r="1003" spans="1:10" ht="150" x14ac:dyDescent="0.25">
      <c r="A1003" s="6" t="str">
        <f>HYPERLINK("https://grants.gov/search-results-detail/353813","O-OVW-2024-172078")</f>
        <v>O-OVW-2024-172078</v>
      </c>
      <c r="B1003" s="6" t="s">
        <v>220</v>
      </c>
      <c r="C1003" s="6" t="s">
        <v>216</v>
      </c>
      <c r="D1003" s="6" t="s">
        <v>217</v>
      </c>
      <c r="E1003" s="7">
        <v>45461</v>
      </c>
      <c r="F1003" s="8">
        <v>750000</v>
      </c>
      <c r="G1003" s="8">
        <v>0</v>
      </c>
      <c r="H1003" s="6">
        <v>25</v>
      </c>
      <c r="I1003" s="6" t="s">
        <v>221</v>
      </c>
      <c r="J1003" s="6" t="s">
        <v>222</v>
      </c>
    </row>
    <row r="1004" spans="1:10" ht="300" x14ac:dyDescent="0.25">
      <c r="A1004" s="6" t="str">
        <f>HYPERLINK("https://grants.gov/search-results-detail/353765","O-OVW-2024-172039")</f>
        <v>O-OVW-2024-172039</v>
      </c>
      <c r="B1004" s="6" t="s">
        <v>287</v>
      </c>
      <c r="C1004" s="6" t="s">
        <v>216</v>
      </c>
      <c r="D1004" s="6" t="s">
        <v>217</v>
      </c>
      <c r="E1004" s="7">
        <v>45468</v>
      </c>
      <c r="F1004" s="8">
        <v>364025</v>
      </c>
      <c r="G1004" s="8">
        <v>113933</v>
      </c>
      <c r="H1004" s="6">
        <v>87</v>
      </c>
      <c r="I1004" s="6" t="s">
        <v>288</v>
      </c>
      <c r="J1004" s="6" t="s">
        <v>289</v>
      </c>
    </row>
    <row r="1005" spans="1:10" ht="300" x14ac:dyDescent="0.25">
      <c r="A1005" s="6" t="str">
        <f>HYPERLINK("https://grants.gov/search-results-detail/353217","O-OVW-2024-171919")</f>
        <v>O-OVW-2024-171919</v>
      </c>
      <c r="B1005" s="6" t="s">
        <v>1228</v>
      </c>
      <c r="C1005" s="6" t="s">
        <v>216</v>
      </c>
      <c r="D1005" s="6" t="s">
        <v>217</v>
      </c>
      <c r="E1005" s="7">
        <v>45482</v>
      </c>
      <c r="F1005" s="8">
        <v>0</v>
      </c>
      <c r="G1005" s="8">
        <v>0</v>
      </c>
      <c r="H1005" s="6">
        <v>10</v>
      </c>
      <c r="I1005" s="6" t="s">
        <v>1229</v>
      </c>
      <c r="J1005" s="6" t="s">
        <v>1230</v>
      </c>
    </row>
    <row r="1006" spans="1:10" ht="409.5" x14ac:dyDescent="0.25">
      <c r="A1006" s="6" t="str">
        <f>HYPERLINK("https://grants.gov/search-results-detail/353119","O-SMART-2024-172043")</f>
        <v>O-SMART-2024-172043</v>
      </c>
      <c r="B1006" s="6" t="s">
        <v>1364</v>
      </c>
      <c r="C1006" s="6" t="s">
        <v>1365</v>
      </c>
      <c r="D1006" s="6" t="s">
        <v>1366</v>
      </c>
      <c r="E1006" s="7">
        <v>45428</v>
      </c>
      <c r="F1006" s="8">
        <v>600000</v>
      </c>
      <c r="G1006" s="8">
        <v>0</v>
      </c>
      <c r="H1006" s="6">
        <v>60</v>
      </c>
      <c r="I1006" s="6" t="s">
        <v>1367</v>
      </c>
      <c r="J1006" s="6" t="s">
        <v>1368</v>
      </c>
    </row>
    <row r="1007" spans="1:10" ht="300" x14ac:dyDescent="0.25">
      <c r="A1007" s="6" t="str">
        <f>HYPERLINK("https://grants.gov/search-results-detail/353759","CDFI-2024-BEA")</f>
        <v>CDFI-2024-BEA</v>
      </c>
      <c r="B1007" s="6" t="s">
        <v>133</v>
      </c>
      <c r="C1007" s="6" t="s">
        <v>134</v>
      </c>
      <c r="D1007" s="6" t="s">
        <v>135</v>
      </c>
      <c r="E1007" s="7">
        <v>45440</v>
      </c>
      <c r="F1007" s="8">
        <v>1000000</v>
      </c>
      <c r="G1007" s="8">
        <v>10000</v>
      </c>
      <c r="H1007" s="6">
        <v>190</v>
      </c>
      <c r="I1007" s="6" t="s">
        <v>136</v>
      </c>
      <c r="J1007" s="6" t="s">
        <v>137</v>
      </c>
    </row>
    <row r="1008" spans="1:10" ht="45" x14ac:dyDescent="0.25">
      <c r="A1008" s="6" t="str">
        <f>HYPERLINK("https://grants.gov/search-results-detail/353671","TREAS-GRANTS-042025-001")</f>
        <v>TREAS-GRANTS-042025-001</v>
      </c>
      <c r="B1008" s="6" t="s">
        <v>385</v>
      </c>
      <c r="C1008" s="6" t="s">
        <v>386</v>
      </c>
      <c r="D1008" s="6" t="s">
        <v>387</v>
      </c>
      <c r="E1008" s="7">
        <v>45455</v>
      </c>
      <c r="F1008" s="8">
        <v>200000</v>
      </c>
      <c r="G1008" s="8">
        <v>0</v>
      </c>
      <c r="H1008" s="6">
        <v>150</v>
      </c>
      <c r="I1008" s="6" t="s">
        <v>338</v>
      </c>
      <c r="J1008" s="6" t="s">
        <v>388</v>
      </c>
    </row>
    <row r="1009" spans="1:10" ht="409.5" x14ac:dyDescent="0.25">
      <c r="A1009" s="6" t="str">
        <f>HYPERLINK("https://grants.gov/search-results-detail/350727","SSBCI-TA-2023-001")</f>
        <v>SSBCI-TA-2023-001</v>
      </c>
      <c r="B1009" s="6" t="s">
        <v>2154</v>
      </c>
      <c r="C1009" s="6" t="s">
        <v>2155</v>
      </c>
      <c r="D1009" s="6" t="s">
        <v>2156</v>
      </c>
      <c r="E1009" s="7">
        <v>45446</v>
      </c>
      <c r="F1009" s="8">
        <v>10000000</v>
      </c>
      <c r="G1009" s="8">
        <v>5000000</v>
      </c>
      <c r="I1009" s="6" t="s">
        <v>2157</v>
      </c>
      <c r="J1009" s="6" t="s">
        <v>2158</v>
      </c>
    </row>
    <row r="1010" spans="1:10" ht="90" x14ac:dyDescent="0.25">
      <c r="A1010" s="6" t="str">
        <f>HYPERLINK("https://grants.gov/search-results-detail/333825","36C78621R0028")</f>
        <v>36C78621R0028</v>
      </c>
      <c r="B1010" s="6" t="s">
        <v>2657</v>
      </c>
      <c r="C1010" s="6" t="s">
        <v>2658</v>
      </c>
      <c r="D1010" s="6" t="s">
        <v>2659</v>
      </c>
      <c r="F1010" s="8">
        <v>2200000</v>
      </c>
      <c r="G1010" s="8">
        <v>0</v>
      </c>
      <c r="H1010" s="6">
        <v>10</v>
      </c>
      <c r="I1010" s="6" t="s">
        <v>2660</v>
      </c>
      <c r="J1010" s="6" t="s">
        <v>2661</v>
      </c>
    </row>
  </sheetData>
  <sortState xmlns:xlrd2="http://schemas.microsoft.com/office/spreadsheetml/2017/richdata2" ref="A3:O1010">
    <sortCondition ref="C3:C1010"/>
    <sortCondition ref="E3:E10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Federal Opps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Navarro, Lucas (S&amp;T-Student)</cp:lastModifiedBy>
  <dcterms:created xsi:type="dcterms:W3CDTF">2024-04-30T20:13:14Z</dcterms:created>
  <dcterms:modified xsi:type="dcterms:W3CDTF">2024-04-30T20:16:27Z</dcterms:modified>
</cp:coreProperties>
</file>